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Informationen" sheetId="1" r:id="rId1"/>
    <sheet name="Programm" sheetId="2" r:id="rId2"/>
    <sheet name="Beispiel" sheetId="3" r:id="rId3"/>
  </sheets>
  <definedNames>
    <definedName name="_xlnm.Print_Area" localSheetId="2">'Beispiel'!$A$1:$S$59</definedName>
    <definedName name="_xlnm.Print_Area" localSheetId="0">'Informationen'!$A$1:$Y$61</definedName>
    <definedName name="_xlnm.Print_Area" localSheetId="1">'Programm'!$A$1:$S$66</definedName>
  </definedNames>
  <calcPr fullCalcOnLoad="1"/>
</workbook>
</file>

<file path=xl/comments2.xml><?xml version="1.0" encoding="utf-8"?>
<comments xmlns="http://schemas.openxmlformats.org/spreadsheetml/2006/main">
  <authors>
    <author>Alexander M?ller</author>
  </authors>
  <commentList>
    <comment ref="A13" authorId="0">
      <text>
        <r>
          <rPr>
            <b/>
            <sz val="10"/>
            <rFont val="Arial"/>
            <family val="2"/>
          </rPr>
          <t xml:space="preserve">Fortgeführte Fremdsprache
</t>
        </r>
        <r>
          <rPr>
            <sz val="10"/>
            <rFont val="Arial"/>
            <family val="2"/>
          </rPr>
          <t>(verpflichtendes Abiturfach)</t>
        </r>
      </text>
    </comment>
    <comment ref="A14" authorId="0">
      <text>
        <r>
          <rPr>
            <b/>
            <sz val="10"/>
            <rFont val="Arial"/>
            <family val="2"/>
          </rPr>
          <t xml:space="preserve">Naturwissenschaft 1
</t>
        </r>
        <r>
          <rPr>
            <sz val="10"/>
            <rFont val="Arial"/>
            <family val="2"/>
          </rPr>
          <t>Physik, Chemie, Biologie</t>
        </r>
      </text>
    </comment>
    <comment ref="A15" authorId="0">
      <text>
        <r>
          <rPr>
            <b/>
            <sz val="10"/>
            <rFont val="Arial"/>
            <family val="2"/>
          </rPr>
          <t xml:space="preserve">Naturwissenschaft 2 </t>
        </r>
        <r>
          <rPr>
            <sz val="10"/>
            <rFont val="Arial"/>
            <family val="2"/>
          </rPr>
          <t>oder</t>
        </r>
        <r>
          <rPr>
            <b/>
            <sz val="10"/>
            <rFont val="Arial"/>
            <family val="2"/>
          </rPr>
          <t xml:space="preserve"> weitere Fremdsprache </t>
        </r>
        <r>
          <rPr>
            <sz val="10"/>
            <rFont val="Arial"/>
            <family val="2"/>
          </rPr>
          <t>oder</t>
        </r>
        <r>
          <rPr>
            <b/>
            <sz val="10"/>
            <rFont val="Arial"/>
            <family val="2"/>
          </rPr>
          <t xml:space="preserve"> fortgeführte Informatik</t>
        </r>
      </text>
    </comment>
    <comment ref="A8" authorId="0">
      <text>
        <r>
          <rPr>
            <sz val="10"/>
            <rFont val="Arial"/>
            <family val="2"/>
          </rPr>
          <t>Bei Wahl von Geschichte als Abiturfach im Profilbereich Sozialkunde hinzufügen!</t>
        </r>
      </text>
    </comment>
  </commentList>
</comments>
</file>

<file path=xl/sharedStrings.xml><?xml version="1.0" encoding="utf-8"?>
<sst xmlns="http://schemas.openxmlformats.org/spreadsheetml/2006/main" count="403" uniqueCount="166">
  <si>
    <t>Musik</t>
  </si>
  <si>
    <t>Chemie</t>
  </si>
  <si>
    <t>LATEIN</t>
  </si>
  <si>
    <t>→</t>
  </si>
  <si>
    <t>schlechteste Abitur-Leistung:</t>
  </si>
  <si>
    <t>zweitschlechteste Abitur-Leistung:</t>
  </si>
  <si>
    <t>drittschlechteste Abitur-Leistung:</t>
  </si>
  <si>
    <t>davon unterpunktet:</t>
  </si>
  <si>
    <t>ABITUR BESTANDEN?</t>
  </si>
  <si>
    <t>Englisch</t>
  </si>
  <si>
    <t>Spanisch</t>
  </si>
  <si>
    <t>Französisch</t>
  </si>
  <si>
    <t>Italienisch</t>
  </si>
  <si>
    <t>Sozialkunde</t>
  </si>
  <si>
    <t>Biologie</t>
  </si>
  <si>
    <t>Physik</t>
  </si>
  <si>
    <t>Big Band</t>
  </si>
  <si>
    <t>Chor</t>
  </si>
  <si>
    <t>Latein</t>
  </si>
  <si>
    <t>Kunst</t>
  </si>
  <si>
    <t>Sonstiges</t>
  </si>
  <si>
    <t>Orchester</t>
  </si>
  <si>
    <t>Ethik</t>
  </si>
  <si>
    <t>ENGLISCH</t>
  </si>
  <si>
    <t>SPANISCH</t>
  </si>
  <si>
    <t>ITALIENISCH</t>
  </si>
  <si>
    <t>FRANZÖSISCH</t>
  </si>
  <si>
    <t>schriftlich</t>
  </si>
  <si>
    <t>1. Fächerauswahl und Noteneingabe</t>
  </si>
  <si>
    <t>a) Abiturprüfung</t>
  </si>
  <si>
    <t>Notendurchschnitt:</t>
  </si>
  <si>
    <t>c) Abitur</t>
  </si>
  <si>
    <t>GESAMTPUNKTZAHL:</t>
  </si>
  <si>
    <t>Link zum Programm</t>
  </si>
  <si>
    <t>Link zu den Informationen</t>
  </si>
  <si>
    <t>d) allgemeine Hochschulreife</t>
  </si>
  <si>
    <t>Link zum Beispiel</t>
  </si>
  <si>
    <t>ja</t>
  </si>
  <si>
    <t>b) Wahlpflichtfächer</t>
  </si>
  <si>
    <t>a) Pflichtfächer</t>
  </si>
  <si>
    <t>c) Profilbereich</t>
  </si>
  <si>
    <t>Religionslehre</t>
  </si>
  <si>
    <t>GRIECHISCH</t>
  </si>
  <si>
    <t>RUSSISCH</t>
  </si>
  <si>
    <t>Griechisch</t>
  </si>
  <si>
    <t>Russisch</t>
  </si>
  <si>
    <t>andere Fremdsprache</t>
  </si>
  <si>
    <t>Geographie</t>
  </si>
  <si>
    <t>Wirtschaft/Recht</t>
  </si>
  <si>
    <t>fortgeführte Informatik</t>
  </si>
  <si>
    <t>Philosophie</t>
  </si>
  <si>
    <t>Psychologie</t>
  </si>
  <si>
    <t>Astrophysik</t>
  </si>
  <si>
    <t>Informatik</t>
  </si>
  <si>
    <t>Wirtschaftsinformatik</t>
  </si>
  <si>
    <t>sozialwiss. Arbeitsfelder</t>
  </si>
  <si>
    <t>Biophysik</t>
  </si>
  <si>
    <t>Schulaufgabennote:</t>
  </si>
  <si>
    <t>mündlich</t>
  </si>
  <si>
    <t>W-Seminar</t>
  </si>
  <si>
    <t>P-Seminar</t>
  </si>
  <si>
    <t>Biochemisches Praktikum</t>
  </si>
  <si>
    <t>d) aktueller Stand</t>
  </si>
  <si>
    <t>Punktedurchschnitt:</t>
  </si>
  <si>
    <t>eingebrachte HJL:</t>
  </si>
  <si>
    <t>aktuelle Punktzahl:</t>
  </si>
  <si>
    <t>erreichte Punktanzahl:</t>
  </si>
  <si>
    <t>nein</t>
  </si>
  <si>
    <t>2. Statistik-Center I (Qualifikationsphase)</t>
  </si>
  <si>
    <t>DURCHSCHNITTSNOTE:</t>
  </si>
  <si>
    <t>b) wichtige Abitur-Hürden</t>
  </si>
  <si>
    <t>mind. 100/300 Punkte in Abiturprüfung:</t>
  </si>
  <si>
    <t>3. Statistik-Center II (Gesamtqualifikation)</t>
  </si>
  <si>
    <t>mind. 100/300 Punkte in Abiturfächern während Q-Phase:</t>
  </si>
  <si>
    <t>max. 8 Unterpunktungen während Qualifikationsphase:</t>
  </si>
  <si>
    <t>Abfragen, Exen etc.:</t>
  </si>
  <si>
    <t>Halbjahresleistung:</t>
  </si>
  <si>
    <t>praktische Leistungsnachweise:</t>
  </si>
  <si>
    <t>Unterrichtsbeiträge:</t>
  </si>
  <si>
    <t>Additum (Praxis):</t>
  </si>
  <si>
    <t>Q11/1</t>
  </si>
  <si>
    <t>Q11/2</t>
  </si>
  <si>
    <t>Q12/1</t>
  </si>
  <si>
    <t>Q12/2</t>
  </si>
  <si>
    <t>Einbringung ("ja"/"nein")</t>
  </si>
  <si>
    <t>Abiturfach</t>
  </si>
  <si>
    <t>Dabei wird einem angezeigt, auf welchem Stand man sich aktuell befindet und welche Hürden man im Bezug auf das Abiturs noch zu nehmen hat.</t>
  </si>
  <si>
    <t>c) W-Seminar</t>
  </si>
  <si>
    <t>d) HJL bei Kunst bzw. Musik als schriftlichem Abiturprüfungsfach</t>
  </si>
  <si>
    <t>Seminararbeit:</t>
  </si>
  <si>
    <t>Präsentation:</t>
  </si>
  <si>
    <t>Additum-Schulaufgabennote:</t>
  </si>
  <si>
    <t>(0-15)</t>
  </si>
  <si>
    <t>nächste</t>
  </si>
  <si>
    <t>letzte</t>
  </si>
  <si>
    <t>Stufen</t>
  </si>
  <si>
    <t>Noten</t>
  </si>
  <si>
    <r>
      <t xml:space="preserve">1c) Die HJL der beiden </t>
    </r>
    <r>
      <rPr>
        <b/>
        <sz val="10"/>
        <rFont val="Arial"/>
        <family val="2"/>
      </rPr>
      <t>Seminare in Q12/1</t>
    </r>
    <r>
      <rPr>
        <sz val="10"/>
        <rFont val="Arial"/>
        <family val="2"/>
      </rPr>
      <t xml:space="preserve"> reichen bis </t>
    </r>
    <r>
      <rPr>
        <b/>
        <sz val="10"/>
        <rFont val="Arial"/>
        <family val="2"/>
      </rPr>
      <t>30 Punkte</t>
    </r>
    <r>
      <rPr>
        <sz val="10"/>
        <rFont val="Arial"/>
        <family val="2"/>
      </rPr>
      <t>, wobei der W-Seminar-Gesamtleistung folgende Formel zu Grunde liegt: (3*Arbeit+1*Präsentation) / 2</t>
    </r>
  </si>
  <si>
    <r>
      <t xml:space="preserve">3e) Bei der mündlichen Nachprüfung ist nur die Verbesserungsmöglichkeit in </t>
    </r>
    <r>
      <rPr>
        <b/>
        <sz val="10"/>
        <rFont val="Arial"/>
        <family val="2"/>
      </rPr>
      <t>einem</t>
    </r>
    <r>
      <rPr>
        <sz val="10"/>
        <rFont val="Arial"/>
        <family val="2"/>
      </rPr>
      <t xml:space="preserve"> der </t>
    </r>
    <r>
      <rPr>
        <b/>
        <sz val="10"/>
        <rFont val="Arial"/>
        <family val="2"/>
      </rPr>
      <t>schriftlichen</t>
    </r>
    <r>
      <rPr>
        <sz val="10"/>
        <rFont val="Arial"/>
        <family val="2"/>
      </rPr>
      <t xml:space="preserve"> Abiturfächer vorgesehen, bei mehreren bitte direkt ans Direktorat wenden.</t>
    </r>
  </si>
  <si>
    <t>mind. 48/180 Punkte in Pflicht-Abiturfächern während Q-Phase:</t>
  </si>
  <si>
    <t>Zwischen dieser Seite, dem Programm und einem Vorführbeispiel kann über die violetten Hyperlinks in Zeile 1 oder die Reiter am unteren Excel-Fensterrand gewechselt werden.</t>
  </si>
  <si>
    <t>Dramatisches Gestalten</t>
  </si>
  <si>
    <r>
      <t xml:space="preserve">  </t>
    </r>
    <r>
      <rPr>
        <sz val="10"/>
        <color indexed="8"/>
        <rFont val="Arial"/>
        <family val="2"/>
      </rPr>
      <t>zahl zur Verbesserung auf</t>
    </r>
  </si>
  <si>
    <r>
      <t xml:space="preserve">  </t>
    </r>
    <r>
      <rPr>
        <sz val="10"/>
        <color indexed="8"/>
        <rFont val="Arial"/>
        <family val="2"/>
      </rPr>
      <t xml:space="preserve">einmalig benötigte Punkt- </t>
    </r>
  </si>
  <si>
    <r>
      <t xml:space="preserve">  </t>
    </r>
    <r>
      <rPr>
        <sz val="10"/>
        <color indexed="8"/>
        <rFont val="Arial"/>
        <family val="2"/>
      </rPr>
      <t>Notendurchschnitt:</t>
    </r>
  </si>
  <si>
    <t>a) Standard-Halbjahresleistung (nicht für Sport bzw. bei Addita)</t>
  </si>
  <si>
    <t>E-Mail für Fragen, Anregungen und vor allem Fehlermeldungen:</t>
  </si>
  <si>
    <t>Ein Download des Programms ist unter folgendem Link möglich:</t>
  </si>
  <si>
    <t>5. Bedienung und Erklärungen zur Dateneingabe und Berechnung des Programms</t>
  </si>
  <si>
    <t>4. Hilfsprogramme zur Berechung einer Halbjahresleistung</t>
  </si>
  <si>
    <t>2. Programmbeschreibung und Intention</t>
  </si>
  <si>
    <t>3. Bekannte Einschränkungen und Fehlermeldungen</t>
  </si>
  <si>
    <t>1. Changelog (Versionen, Daten und Änderungen)</t>
  </si>
  <si>
    <r>
      <t>v0.1</t>
    </r>
    <r>
      <rPr>
        <sz val="10"/>
        <rFont val="Arial"/>
        <family val="2"/>
      </rPr>
      <t xml:space="preserve"> (18.03.2010): Entwicklungsbeginn</t>
    </r>
  </si>
  <si>
    <t>MATHEMATIK</t>
  </si>
  <si>
    <t>DEUTSCH</t>
  </si>
  <si>
    <t>Geschichte/Sozialkunde</t>
  </si>
  <si>
    <t>Sport</t>
  </si>
  <si>
    <t xml:space="preserve">e) mündliche Zusatzprüfung zur schriftlichen Abiturprüfung </t>
  </si>
  <si>
    <t>b) Halbjahresleistung (HJL) in Sport</t>
  </si>
  <si>
    <t>e) HJL bei Sport als Abiturprüfungsfach</t>
  </si>
  <si>
    <r>
      <t xml:space="preserve">1abc) </t>
    </r>
    <r>
      <rPr>
        <b/>
        <sz val="10"/>
        <rFont val="Arial"/>
        <family val="2"/>
      </rPr>
      <t>Wahl-/Pflichtfächer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Fächer aus Profilbereich</t>
    </r>
    <r>
      <rPr>
        <sz val="10"/>
        <rFont val="Arial"/>
        <family val="2"/>
      </rPr>
      <t xml:space="preserve"> per Dropdown-Liste </t>
    </r>
    <r>
      <rPr>
        <b/>
        <sz val="10"/>
        <rFont val="Arial"/>
        <family val="2"/>
      </rPr>
      <t>auswählen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Halbjahresleistungen eingeben</t>
    </r>
    <r>
      <rPr>
        <sz val="10"/>
        <rFont val="Arial"/>
        <family val="2"/>
      </rPr>
      <t>.</t>
    </r>
  </si>
  <si>
    <t>3b) Für weiterführende Infos zu den Voraussetzungen zum Erwerb der allgemeinen Hochschulreife sei das weiß-blaue Heft vom Kultusministerium empfohlen:</t>
  </si>
  <si>
    <t>WIRTSCHAFT/RECHT</t>
  </si>
  <si>
    <t>CHEMIE</t>
  </si>
  <si>
    <t>JA!</t>
  </si>
  <si>
    <t>Glückwunsch zum Abitur!</t>
  </si>
  <si>
    <t>unmgl</t>
  </si>
  <si>
    <r>
      <t xml:space="preserve">1abc) Einzubringende Halbjahresleistungen - bitte selbst in Erfahrung bringen - </t>
    </r>
    <r>
      <rPr>
        <b/>
        <sz val="10"/>
        <rFont val="Arial"/>
        <family val="2"/>
      </rPr>
      <t>mit "ja" bestätigen</t>
    </r>
    <r>
      <rPr>
        <sz val="10"/>
        <rFont val="Arial"/>
        <family val="2"/>
      </rPr>
      <t xml:space="preserve"> und Auswahl der Abiturfächer (vgl. 3a) am besten </t>
    </r>
    <r>
      <rPr>
        <b/>
        <sz val="10"/>
        <rFont val="Arial"/>
        <family val="2"/>
      </rPr>
      <t>erst in Q11/2</t>
    </r>
    <r>
      <rPr>
        <sz val="10"/>
        <rFont val="Arial"/>
        <family val="2"/>
      </rPr>
      <t xml:space="preserve"> tätigen.</t>
    </r>
  </si>
  <si>
    <t>c) Wirtschafts- und Sozialwissenschaftliche Gymnasien werden aufgrund ihrer geringen Verbreitung in Bayern nicht explizit unterstützt.</t>
  </si>
  <si>
    <t>Praxis (Berechnung siehe 4b):</t>
  </si>
  <si>
    <r>
      <t>v1.1</t>
    </r>
    <r>
      <rPr>
        <sz val="10"/>
        <color indexed="8"/>
        <rFont val="Arial"/>
        <family val="2"/>
      </rPr>
      <t xml:space="preserve"> (06.05.2010): Beseitigung von Rundungsfehler in Halbjahresleistung für W-Seminar und anderer Inkonsistenzen</t>
    </r>
  </si>
  <si>
    <r>
      <t>v1.0</t>
    </r>
    <r>
      <rPr>
        <sz val="10"/>
        <color indexed="8"/>
        <rFont val="Arial"/>
        <family val="2"/>
      </rPr>
      <t xml:space="preserve"> (22.04.2010): Abschluss Entwicklungsphase, Erstveröffentlichung</t>
    </r>
  </si>
  <si>
    <t>Der Abstand zur Durchschnittsnote 2,1 beträgt 16 Punkte und zu 1,9 beträgt er 3 Punkte.</t>
  </si>
  <si>
    <t>Geschichte</t>
  </si>
  <si>
    <r>
      <t>v1.2</t>
    </r>
    <r>
      <rPr>
        <sz val="10"/>
        <color indexed="8"/>
        <rFont val="Arial"/>
        <family val="2"/>
      </rPr>
      <t xml:space="preserve"> (18.11.2010): Hinzufügen von Geschichte als Wahlpflichtfach (Dank an Fr. Oberstadt), Änderung der Abiturnoteneingabe (Dank an Hr. Zwicknagl), kleinere Verbesserungen</t>
    </r>
  </si>
  <si>
    <t>6. Hersteller, Lizenzbedingungen, Kontakt</t>
  </si>
  <si>
    <t>Archäologie</t>
  </si>
  <si>
    <t>Kunstgeschichte</t>
  </si>
  <si>
    <t>Literatur</t>
  </si>
  <si>
    <t>Photographie</t>
  </si>
  <si>
    <t>Hersteller-Homepage) oder kommerzielle Nutzung dieses urheberrechtlich geschützten Werks nur mit ausdrücklicher Zustimmung des Herstellers.</t>
  </si>
  <si>
    <t>Änderungen (inbesondere Modifkationen am Quellcode durch widerrechtliches Umgehen des Blattschutzes), Verlinkungen (abgesehen von einem direkten Link auf die</t>
  </si>
  <si>
    <t>7. Gewährleistung, Haftung, Support</t>
  </si>
  <si>
    <t>Jegliche Gewährleistung im Bezug auf korrekte Funktionalität des Programms, insbesondere die richtige Berechnung der Ergebnisse, ist ausgeschlossen. Ferner besteht kein</t>
  </si>
  <si>
    <t>expliziter Anspruch auf Support. Für Schäden, die durch Benutzen des Programms oder den Umstand, es nicht benutzen zu können, entstehen, wird keine Haftung übernommen,</t>
  </si>
  <si>
    <t>sofern nicht grob fahrlässig oder vorsätzlich vom Hersteller verschuldet.</t>
  </si>
  <si>
    <t>b) Der Übersichtlichkeit halber stehen - abgesehen von den beiden Seminaren - aktuell nur bis zu drei weitere Fächer im Profilbereich zur Auswahl.</t>
  </si>
  <si>
    <t>Der Sinn dieses Programms besteht einzig und allein darin, Kollegiaten auf der Basis ihres bisher Erreichten dazu anzuspornen, sich noch weiter verbessern zu wollen!</t>
  </si>
  <si>
    <t>1ab) Die kleinen roten Dreiecke bei der Fächerauswahl sind ergänzende Kommentare, die beim Überfahren der jeweiligen Zelle mit der Maus erscheinen.</t>
  </si>
  <si>
    <t>Um den Notenrechner nicht allzu kompliziert zu gestalten, wurde darauf verzichtet, jede Schulaufgabe, Abfrage, Ex etc. einzeln zu erfassen (dafür gibts Terminplaner à la Häfft),</t>
  </si>
  <si>
    <t>Bei diesem Programm handelt es sich um Freeware von: Alexander Müller, Leharstraße 27a, 86179 Augsburg</t>
  </si>
  <si>
    <t>mind. 5/15 Punkte in 3/5 Abiturfächern, davon 1/3 Pflichtfächer:</t>
  </si>
  <si>
    <t>mind. 200/600 Punkte in Q-Phase, davon 24/90 in Seminaren:</t>
  </si>
  <si>
    <t>mind. 4/15 Punkte in weiterem der 1/3 Abitur-Pflichtfächer:</t>
  </si>
  <si>
    <t>keine 0 Punkte in einer der Abiturprüfungen bzw. in Seminaren:</t>
  </si>
  <si>
    <t>d) Allgemeine Hochschulreife</t>
  </si>
  <si>
    <r>
      <t xml:space="preserve">2d) Am Ende von Q12/2 müssen exakt </t>
    </r>
    <r>
      <rPr>
        <b/>
        <sz val="10"/>
        <rFont val="Arial"/>
        <family val="2"/>
      </rPr>
      <t>40 Halbjahresleistungen</t>
    </r>
    <r>
      <rPr>
        <sz val="10"/>
        <rFont val="Arial"/>
        <family val="2"/>
      </rPr>
      <t xml:space="preserve"> eingebracht worden sein, davon </t>
    </r>
    <r>
      <rPr>
        <b/>
        <sz val="10"/>
        <rFont val="Arial"/>
        <family val="2"/>
      </rPr>
      <t>maximal 8 unterpunktete</t>
    </r>
    <r>
      <rPr>
        <sz val="10"/>
        <rFont val="Arial"/>
        <family val="2"/>
      </rPr>
      <t xml:space="preserve"> (weniger als 5 bzw. 9 Punkte).</t>
    </r>
  </si>
  <si>
    <t>f) Da das Programm mit Microsoft Office 2003 erstellt wurde, kann es auf älteren Office-Versionen zu Fehlermeldung im Bezug auf eingeschränkte Funktionalität kommen.</t>
  </si>
  <si>
    <t>e) Wenn Wahlpflichtfächernamen nicht vollständig ausgewählt sind, werden einzelne Abitur-Hürden trotz vorhandener Mindestpunktzahlen teilweise als nicht bestanden angezeigt.</t>
  </si>
  <si>
    <t>d) Die Eingabe von Noten wird auf Plausibilität geprüft, so ist z. B. die Eingabe negativer Punktzahlen nicht möglich.</t>
  </si>
  <si>
    <r>
      <t>v1.3</t>
    </r>
    <r>
      <rPr>
        <sz val="10"/>
        <color indexed="8"/>
        <rFont val="Arial"/>
        <family val="2"/>
      </rPr>
      <t xml:space="preserve"> (25.04.2013): Aktualisieren von Abiturvoraussetzungen, Links sowie E-Mail, Auswahl von Geschichte als Pflichtfach (Dank an Hr. Sturm), kleinere Verbesserungen</t>
    </r>
  </si>
  <si>
    <t>Dieses Excel-Programm dient primär zum Speichern von Halbjahresleistungen und zur Berechnung der Abitur-Durchschnittsnote für das (achstufige) bayerische Gymnasium.</t>
  </si>
  <si>
    <t>jedoch besteht die Möglichkeit, mit kleinen Hilfsprogrammen (siehe 4.) eine Halbjahresleistung zu berechnen.</t>
  </si>
  <si>
    <t>a) Das Programm erkennt keine Fehler bei der Auswahl von Abiturfächern und Belegungs- bzw. Einbringungspflicht einzelner Fächer, dafür existiert z. B. der</t>
  </si>
  <si>
    <t>Der Notenschnitt-Kalkulator kann mit Microsoft Excel, OpenOffice, LibreOffice oder einer ähnlichen Tabellenkalkulation verwendet werden.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</si>
</sst>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0.000"/>
    <numFmt numFmtId="178" formatCode="0.00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2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4"/>
      <color indexed="2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b/>
      <i/>
      <sz val="10.5"/>
      <color indexed="12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3"/>
      <color indexed="12"/>
      <name val="Arial"/>
      <family val="2"/>
    </font>
    <font>
      <b/>
      <sz val="13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9" applyNumberFormat="0" applyAlignment="0" applyProtection="0"/>
  </cellStyleXfs>
  <cellXfs count="134">
    <xf numFmtId="0" fontId="0" fillId="0" borderId="0" xfId="0" applyAlignment="1">
      <alignment/>
    </xf>
    <xf numFmtId="0" fontId="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3" fillId="24" borderId="0" xfId="0" applyFont="1" applyFill="1" applyAlignment="1" applyProtection="1">
      <alignment/>
      <protection hidden="1"/>
    </xf>
    <xf numFmtId="0" fontId="5" fillId="24" borderId="0" xfId="0" applyFont="1" applyFill="1" applyAlignment="1" applyProtection="1">
      <alignment/>
      <protection hidden="1"/>
    </xf>
    <xf numFmtId="0" fontId="3" fillId="24" borderId="10" xfId="0" applyFont="1" applyFill="1" applyBorder="1" applyAlignment="1" applyProtection="1">
      <alignment horizontal="center"/>
      <protection hidden="1"/>
    </xf>
    <xf numFmtId="0" fontId="0" fillId="24" borderId="0" xfId="0" applyFont="1" applyFill="1" applyAlignment="1" applyProtection="1">
      <alignment horizontal="left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10" fillId="24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 horizontal="left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9" fillId="24" borderId="0" xfId="0" applyFont="1" applyFill="1" applyAlignment="1" applyProtection="1">
      <alignment vertical="center"/>
      <protection hidden="1"/>
    </xf>
    <xf numFmtId="0" fontId="3" fillId="24" borderId="10" xfId="0" applyFont="1" applyFill="1" applyBorder="1" applyAlignment="1" applyProtection="1">
      <alignment horizontal="center"/>
      <protection hidden="1" locked="0"/>
    </xf>
    <xf numFmtId="0" fontId="12" fillId="24" borderId="0" xfId="0" applyFont="1" applyFill="1" applyAlignment="1" applyProtection="1">
      <alignment vertical="center"/>
      <protection hidden="1"/>
    </xf>
    <xf numFmtId="0" fontId="9" fillId="24" borderId="0" xfId="0" applyFont="1" applyFill="1" applyAlignment="1" applyProtection="1">
      <alignment horizontal="center"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 horizontal="center" vertical="center"/>
      <protection hidden="1"/>
    </xf>
    <xf numFmtId="0" fontId="6" fillId="24" borderId="0" xfId="0" applyFont="1" applyFill="1" applyAlignment="1" applyProtection="1">
      <alignment horizontal="right" vertical="center"/>
      <protection hidden="1"/>
    </xf>
    <xf numFmtId="0" fontId="6" fillId="24" borderId="0" xfId="0" applyFont="1" applyFill="1" applyAlignment="1" applyProtection="1">
      <alignment horizontal="left" vertical="center"/>
      <protection hidden="1"/>
    </xf>
    <xf numFmtId="0" fontId="8" fillId="24" borderId="0" xfId="0" applyFont="1" applyFill="1" applyAlignment="1" applyProtection="1">
      <alignment vertical="center"/>
      <protection hidden="1"/>
    </xf>
    <xf numFmtId="0" fontId="4" fillId="24" borderId="0" xfId="0" applyFont="1" applyFill="1" applyAlignment="1" applyProtection="1">
      <alignment horizontal="center"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4" fillId="24" borderId="0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6" fillId="24" borderId="0" xfId="0" applyFont="1" applyFill="1" applyBorder="1" applyAlignment="1" applyProtection="1">
      <alignment horizontal="center" vertical="center"/>
      <protection hidden="1"/>
    </xf>
    <xf numFmtId="0" fontId="6" fillId="24" borderId="11" xfId="0" applyFont="1" applyFill="1" applyBorder="1" applyAlignment="1" applyProtection="1">
      <alignment vertical="center"/>
      <protection hidden="1"/>
    </xf>
    <xf numFmtId="0" fontId="6" fillId="24" borderId="10" xfId="0" applyFont="1" applyFill="1" applyBorder="1" applyAlignment="1" applyProtection="1">
      <alignment horizontal="center" vertical="center"/>
      <protection hidden="1"/>
    </xf>
    <xf numFmtId="2" fontId="6" fillId="24" borderId="0" xfId="0" applyNumberFormat="1" applyFont="1" applyFill="1" applyBorder="1" applyAlignment="1" applyProtection="1">
      <alignment vertical="center"/>
      <protection hidden="1"/>
    </xf>
    <xf numFmtId="2" fontId="6" fillId="24" borderId="0" xfId="0" applyNumberFormat="1" applyFont="1" applyFill="1" applyAlignment="1" applyProtection="1">
      <alignment vertical="center"/>
      <protection hidden="1"/>
    </xf>
    <xf numFmtId="0" fontId="4" fillId="24" borderId="10" xfId="0" applyFont="1" applyFill="1" applyBorder="1" applyAlignment="1" applyProtection="1">
      <alignment horizontal="center" vertical="center"/>
      <protection hidden="1"/>
    </xf>
    <xf numFmtId="176" fontId="4" fillId="24" borderId="10" xfId="0" applyNumberFormat="1" applyFont="1" applyFill="1" applyBorder="1" applyAlignment="1" applyProtection="1">
      <alignment horizontal="center" vertical="center"/>
      <protection hidden="1"/>
    </xf>
    <xf numFmtId="0" fontId="8" fillId="24" borderId="0" xfId="0" applyFont="1" applyFill="1" applyBorder="1" applyAlignment="1" applyProtection="1">
      <alignment horizontal="center" vertical="center"/>
      <protection hidden="1"/>
    </xf>
    <xf numFmtId="176" fontId="7" fillId="24" borderId="0" xfId="0" applyNumberFormat="1" applyFont="1" applyFill="1" applyBorder="1" applyAlignment="1" applyProtection="1">
      <alignment horizontal="center" vertical="center"/>
      <protection hidden="1"/>
    </xf>
    <xf numFmtId="0" fontId="7" fillId="24" borderId="0" xfId="0" applyFont="1" applyFill="1" applyAlignment="1" applyProtection="1">
      <alignment horizontal="center" vertical="center"/>
      <protection hidden="1"/>
    </xf>
    <xf numFmtId="0" fontId="6" fillId="24" borderId="12" xfId="0" applyFont="1" applyFill="1" applyBorder="1" applyAlignment="1" applyProtection="1">
      <alignment horizontal="center" vertical="center"/>
      <protection hidden="1"/>
    </xf>
    <xf numFmtId="176" fontId="4" fillId="24" borderId="0" xfId="0" applyNumberFormat="1" applyFont="1" applyFill="1" applyAlignment="1" applyProtection="1" quotePrefix="1">
      <alignment horizontal="center" vertical="center"/>
      <protection hidden="1"/>
    </xf>
    <xf numFmtId="0" fontId="6" fillId="24" borderId="13" xfId="0" applyFont="1" applyFill="1" applyBorder="1" applyAlignment="1" applyProtection="1">
      <alignment/>
      <protection hidden="1"/>
    </xf>
    <xf numFmtId="0" fontId="8" fillId="24" borderId="13" xfId="0" applyFont="1" applyFill="1" applyBorder="1" applyAlignment="1" applyProtection="1">
      <alignment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5" fillId="24" borderId="0" xfId="0" applyFont="1" applyFill="1" applyAlignment="1" applyProtection="1">
      <alignment/>
      <protection hidden="1"/>
    </xf>
    <xf numFmtId="1" fontId="3" fillId="24" borderId="10" xfId="0" applyNumberFormat="1" applyFont="1" applyFill="1" applyBorder="1" applyAlignment="1" applyProtection="1">
      <alignment horizontal="center"/>
      <protection hidden="1"/>
    </xf>
    <xf numFmtId="1" fontId="3" fillId="24" borderId="14" xfId="0" applyNumberFormat="1" applyFont="1" applyFill="1" applyBorder="1" applyAlignment="1" applyProtection="1">
      <alignment horizontal="center"/>
      <protection hidden="1"/>
    </xf>
    <xf numFmtId="0" fontId="4" fillId="24" borderId="10" xfId="0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 vertical="center"/>
      <protection hidden="1"/>
    </xf>
    <xf numFmtId="0" fontId="4" fillId="24" borderId="15" xfId="0" applyFont="1" applyFill="1" applyBorder="1" applyAlignment="1" applyProtection="1">
      <alignment horizontal="center" vertical="center"/>
      <protection hidden="1"/>
    </xf>
    <xf numFmtId="0" fontId="6" fillId="24" borderId="16" xfId="0" applyFont="1" applyFill="1" applyBorder="1" applyAlignment="1" applyProtection="1">
      <alignment horizontal="center" vertical="center"/>
      <protection hidden="1"/>
    </xf>
    <xf numFmtId="0" fontId="4" fillId="24" borderId="16" xfId="0" applyFont="1" applyFill="1" applyBorder="1" applyAlignment="1" applyProtection="1">
      <alignment horizontal="center" vertical="center"/>
      <protection hidden="1"/>
    </xf>
    <xf numFmtId="0" fontId="4" fillId="24" borderId="17" xfId="0" applyFont="1" applyFill="1" applyBorder="1" applyAlignment="1" applyProtection="1">
      <alignment horizontal="center" vertical="center"/>
      <protection hidden="1"/>
    </xf>
    <xf numFmtId="0" fontId="6" fillId="24" borderId="18" xfId="0" applyFont="1" applyFill="1" applyBorder="1" applyAlignment="1" applyProtection="1">
      <alignment vertical="center"/>
      <protection hidden="1"/>
    </xf>
    <xf numFmtId="0" fontId="20" fillId="24" borderId="0" xfId="0" applyFont="1" applyFill="1" applyAlignment="1" applyProtection="1">
      <alignment vertical="center"/>
      <protection hidden="1"/>
    </xf>
    <xf numFmtId="0" fontId="0" fillId="24" borderId="0" xfId="0" applyFont="1" applyFill="1" applyAlignment="1" applyProtection="1">
      <alignment vertical="center"/>
      <protection hidden="1"/>
    </xf>
    <xf numFmtId="0" fontId="0" fillId="24" borderId="0" xfId="0" applyFont="1" applyFill="1" applyAlignment="1" applyProtection="1">
      <alignment horizontal="center" vertical="center"/>
      <protection hidden="1"/>
    </xf>
    <xf numFmtId="0" fontId="0" fillId="24" borderId="19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0" fontId="3" fillId="24" borderId="19" xfId="0" applyFont="1" applyFill="1" applyBorder="1" applyAlignment="1" applyProtection="1">
      <alignment horizontal="center" vertical="center"/>
      <protection hidden="1"/>
    </xf>
    <xf numFmtId="0" fontId="0" fillId="24" borderId="18" xfId="0" applyFont="1" applyFill="1" applyBorder="1" applyAlignment="1" applyProtection="1">
      <alignment vertical="center"/>
      <protection hidden="1"/>
    </xf>
    <xf numFmtId="0" fontId="0" fillId="24" borderId="16" xfId="0" applyFont="1" applyFill="1" applyBorder="1" applyAlignment="1" applyProtection="1">
      <alignment horizontal="center" vertical="center"/>
      <protection hidden="1"/>
    </xf>
    <xf numFmtId="0" fontId="3" fillId="24" borderId="16" xfId="0" applyFont="1" applyFill="1" applyBorder="1" applyAlignment="1" applyProtection="1">
      <alignment horizontal="center" vertical="center"/>
      <protection hidden="1"/>
    </xf>
    <xf numFmtId="0" fontId="3" fillId="24" borderId="20" xfId="0" applyFont="1" applyFill="1" applyBorder="1" applyAlignment="1" applyProtection="1">
      <alignment horizontal="center" vertical="center"/>
      <protection hidden="1"/>
    </xf>
    <xf numFmtId="0" fontId="3" fillId="24" borderId="21" xfId="0" applyFont="1" applyFill="1" applyBorder="1" applyAlignment="1" applyProtection="1">
      <alignment horizontal="center" vertical="center"/>
      <protection hidden="1"/>
    </xf>
    <xf numFmtId="0" fontId="0" fillId="24" borderId="21" xfId="0" applyFont="1" applyFill="1" applyBorder="1" applyAlignment="1" applyProtection="1">
      <alignment horizontal="center" vertical="center"/>
      <protection hidden="1"/>
    </xf>
    <xf numFmtId="0" fontId="3" fillId="24" borderId="22" xfId="0" applyFont="1" applyFill="1" applyBorder="1" applyAlignment="1" applyProtection="1">
      <alignment horizontal="center" vertical="center"/>
      <protection hidden="1"/>
    </xf>
    <xf numFmtId="0" fontId="0" fillId="24" borderId="22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176" fontId="3" fillId="24" borderId="21" xfId="0" applyNumberFormat="1" applyFont="1" applyFill="1" applyBorder="1" applyAlignment="1" applyProtection="1">
      <alignment horizontal="center" vertical="center"/>
      <protection hidden="1"/>
    </xf>
    <xf numFmtId="176" fontId="3" fillId="24" borderId="22" xfId="0" applyNumberFormat="1" applyFont="1" applyFill="1" applyBorder="1" applyAlignment="1" applyProtection="1">
      <alignment horizontal="center" vertical="center"/>
      <protection hidden="1"/>
    </xf>
    <xf numFmtId="176" fontId="3" fillId="24" borderId="0" xfId="0" applyNumberFormat="1" applyFont="1" applyFill="1" applyAlignment="1" applyProtection="1">
      <alignment horizontal="center" vertical="center"/>
      <protection hidden="1"/>
    </xf>
    <xf numFmtId="176" fontId="4" fillId="24" borderId="0" xfId="0" applyNumberFormat="1" applyFont="1" applyFill="1" applyBorder="1" applyAlignment="1" applyProtection="1">
      <alignment horizontal="center" vertical="center"/>
      <protection hidden="1"/>
    </xf>
    <xf numFmtId="2" fontId="4" fillId="24" borderId="0" xfId="0" applyNumberFormat="1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Alignment="1" applyProtection="1">
      <alignment vertical="center"/>
      <protection hidden="1"/>
    </xf>
    <xf numFmtId="2" fontId="21" fillId="24" borderId="10" xfId="0" applyNumberFormat="1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 horizontal="left"/>
      <protection hidden="1"/>
    </xf>
    <xf numFmtId="2" fontId="6" fillId="24" borderId="0" xfId="0" applyNumberFormat="1" applyFont="1" applyFill="1" applyBorder="1" applyAlignment="1" applyProtection="1">
      <alignment horizontal="left" vertical="center"/>
      <protection hidden="1"/>
    </xf>
    <xf numFmtId="0" fontId="6" fillId="24" borderId="0" xfId="0" applyFont="1" applyFill="1" applyBorder="1" applyAlignment="1" applyProtection="1">
      <alignment horizontal="left" vertical="center"/>
      <protection hidden="1"/>
    </xf>
    <xf numFmtId="17" fontId="6" fillId="24" borderId="0" xfId="0" applyNumberFormat="1" applyFont="1" applyFill="1" applyAlignment="1" applyProtection="1">
      <alignment vertical="center"/>
      <protection hidden="1"/>
    </xf>
    <xf numFmtId="17" fontId="16" fillId="24" borderId="0" xfId="0" applyNumberFormat="1" applyFont="1" applyFill="1" applyAlignment="1" applyProtection="1">
      <alignment horizontal="left" vertical="top"/>
      <protection hidden="1"/>
    </xf>
    <xf numFmtId="0" fontId="25" fillId="24" borderId="0" xfId="0" applyFont="1" applyFill="1" applyAlignment="1" applyProtection="1">
      <alignment vertical="center"/>
      <protection hidden="1"/>
    </xf>
    <xf numFmtId="0" fontId="4" fillId="24" borderId="0" xfId="0" applyFont="1" applyFill="1" applyAlignment="1" applyProtection="1">
      <alignment horizontal="left" vertical="center"/>
      <protection hidden="1"/>
    </xf>
    <xf numFmtId="0" fontId="24" fillId="24" borderId="0" xfId="0" applyFont="1" applyFill="1" applyAlignment="1" applyProtection="1">
      <alignment horizontal="left" vertical="center" indent="1"/>
      <protection hidden="1"/>
    </xf>
    <xf numFmtId="0" fontId="6" fillId="24" borderId="0" xfId="48" applyFont="1" applyFill="1" applyAlignment="1" applyProtection="1">
      <alignment/>
      <protection hidden="1"/>
    </xf>
    <xf numFmtId="0" fontId="3" fillId="24" borderId="12" xfId="0" applyFont="1" applyFill="1" applyBorder="1" applyAlignment="1" applyProtection="1">
      <alignment horizontal="center"/>
      <protection hidden="1" locked="0"/>
    </xf>
    <xf numFmtId="0" fontId="6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0" fontId="27" fillId="24" borderId="0" xfId="0" applyFont="1" applyFill="1" applyAlignment="1" applyProtection="1">
      <alignment vertical="center"/>
      <protection hidden="1"/>
    </xf>
    <xf numFmtId="0" fontId="3" fillId="24" borderId="23" xfId="0" applyFont="1" applyFill="1" applyBorder="1" applyAlignment="1" applyProtection="1">
      <alignment horizontal="center"/>
      <protection hidden="1"/>
    </xf>
    <xf numFmtId="0" fontId="3" fillId="24" borderId="24" xfId="0" applyFont="1" applyFill="1" applyBorder="1" applyAlignment="1" applyProtection="1">
      <alignment horizontal="center"/>
      <protection hidden="1"/>
    </xf>
    <xf numFmtId="0" fontId="1" fillId="24" borderId="0" xfId="48" applyFill="1" applyAlignment="1" applyProtection="1">
      <alignment vertical="center"/>
      <protection hidden="1"/>
    </xf>
    <xf numFmtId="0" fontId="28" fillId="24" borderId="0" xfId="48" applyFont="1" applyFill="1" applyAlignment="1" applyProtection="1">
      <alignment vertical="center"/>
      <protection hidden="1"/>
    </xf>
    <xf numFmtId="0" fontId="17" fillId="24" borderId="11" xfId="0" applyFont="1" applyFill="1" applyBorder="1" applyAlignment="1" applyProtection="1">
      <alignment horizontal="center" vertical="center"/>
      <protection hidden="1"/>
    </xf>
    <xf numFmtId="0" fontId="29" fillId="20" borderId="0" xfId="48" applyFont="1" applyFill="1" applyAlignment="1" applyProtection="1">
      <alignment horizontal="center" vertical="center"/>
      <protection hidden="1"/>
    </xf>
    <xf numFmtId="0" fontId="1" fillId="24" borderId="0" xfId="48" applyFill="1" applyAlignment="1" applyProtection="1">
      <alignment horizontal="left"/>
      <protection hidden="1"/>
    </xf>
    <xf numFmtId="0" fontId="1" fillId="24" borderId="0" xfId="48" applyFont="1" applyFill="1" applyAlignment="1" applyProtection="1">
      <alignment horizontal="left"/>
      <protection hidden="1"/>
    </xf>
    <xf numFmtId="0" fontId="1" fillId="24" borderId="0" xfId="48" applyFont="1" applyFill="1" applyAlignment="1" applyProtection="1">
      <alignment horizontal="left" indent="1"/>
      <protection hidden="1"/>
    </xf>
    <xf numFmtId="0" fontId="1" fillId="0" borderId="0" xfId="48" applyFont="1" applyFill="1" applyAlignment="1" applyProtection="1">
      <alignment horizontal="left" indent="1"/>
      <protection hidden="1"/>
    </xf>
    <xf numFmtId="0" fontId="4" fillId="24" borderId="25" xfId="0" applyFont="1" applyFill="1" applyBorder="1" applyAlignment="1" applyProtection="1">
      <alignment horizontal="center" vertical="center"/>
      <protection hidden="1" locked="0"/>
    </xf>
    <xf numFmtId="0" fontId="4" fillId="24" borderId="26" xfId="0" applyFont="1" applyFill="1" applyBorder="1" applyAlignment="1" applyProtection="1">
      <alignment horizontal="center" vertical="center"/>
      <protection hidden="1" locked="0"/>
    </xf>
    <xf numFmtId="0" fontId="4" fillId="24" borderId="24" xfId="0" applyFont="1" applyFill="1" applyBorder="1" applyAlignment="1" applyProtection="1">
      <alignment horizontal="center" vertical="center"/>
      <protection hidden="1"/>
    </xf>
    <xf numFmtId="0" fontId="4" fillId="24" borderId="25" xfId="0" applyFont="1" applyFill="1" applyBorder="1" applyAlignment="1" applyProtection="1">
      <alignment horizontal="center" vertical="center"/>
      <protection hidden="1"/>
    </xf>
    <xf numFmtId="0" fontId="4" fillId="24" borderId="26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6" fillId="24" borderId="27" xfId="0" applyFont="1" applyFill="1" applyBorder="1" applyAlignment="1" applyProtection="1">
      <alignment vertical="center"/>
      <protection hidden="1"/>
    </xf>
    <xf numFmtId="0" fontId="6" fillId="24" borderId="0" xfId="0" applyFont="1" applyFill="1" applyAlignment="1" applyProtection="1">
      <alignment vertical="center"/>
      <protection hidden="1" locked="0"/>
    </xf>
    <xf numFmtId="0" fontId="6" fillId="24" borderId="27" xfId="0" applyFont="1" applyFill="1" applyBorder="1" applyAlignment="1" applyProtection="1">
      <alignment vertical="center"/>
      <protection hidden="1" locked="0"/>
    </xf>
    <xf numFmtId="0" fontId="6" fillId="24" borderId="0" xfId="0" applyFont="1" applyFill="1" applyBorder="1" applyAlignment="1" applyProtection="1">
      <alignment vertical="center"/>
      <protection hidden="1"/>
    </xf>
    <xf numFmtId="0" fontId="14" fillId="24" borderId="10" xfId="0" applyFont="1" applyFill="1" applyBorder="1" applyAlignment="1" applyProtection="1">
      <alignment horizontal="center" vertical="center"/>
      <protection hidden="1"/>
    </xf>
    <xf numFmtId="0" fontId="18" fillId="24" borderId="10" xfId="0" applyFont="1" applyFill="1" applyBorder="1" applyAlignment="1" applyProtection="1">
      <alignment horizontal="center" vertical="center"/>
      <protection hidden="1"/>
    </xf>
    <xf numFmtId="0" fontId="19" fillId="24" borderId="10" xfId="0" applyFont="1" applyFill="1" applyBorder="1" applyAlignment="1" applyProtection="1">
      <alignment/>
      <protection hidden="1"/>
    </xf>
    <xf numFmtId="176" fontId="23" fillId="24" borderId="10" xfId="0" applyNumberFormat="1" applyFont="1" applyFill="1" applyBorder="1" applyAlignment="1" applyProtection="1">
      <alignment horizontal="center" vertical="center"/>
      <protection hidden="1"/>
    </xf>
    <xf numFmtId="0" fontId="26" fillId="24" borderId="0" xfId="0" applyFont="1" applyFill="1" applyAlignment="1" applyProtection="1">
      <alignment horizontal="left" vertical="center"/>
      <protection hidden="1"/>
    </xf>
    <xf numFmtId="0" fontId="6" fillId="24" borderId="0" xfId="0" applyFont="1" applyFill="1" applyAlignment="1" applyProtection="1">
      <alignment horizontal="left" vertical="center"/>
      <protection hidden="1"/>
    </xf>
    <xf numFmtId="0" fontId="6" fillId="24" borderId="27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13" fillId="24" borderId="28" xfId="0" applyFont="1" applyFill="1" applyBorder="1" applyAlignment="1" applyProtection="1">
      <alignment horizontal="center" vertical="center"/>
      <protection hidden="1"/>
    </xf>
    <xf numFmtId="0" fontId="13" fillId="24" borderId="11" xfId="0" applyFont="1" applyFill="1" applyBorder="1" applyAlignment="1" applyProtection="1">
      <alignment horizontal="center" vertical="center"/>
      <protection hidden="1"/>
    </xf>
    <xf numFmtId="0" fontId="13" fillId="24" borderId="23" xfId="0" applyFont="1" applyFill="1" applyBorder="1" applyAlignment="1" applyProtection="1">
      <alignment horizontal="center" vertical="center"/>
      <protection hidden="1"/>
    </xf>
    <xf numFmtId="0" fontId="13" fillId="24" borderId="24" xfId="0" applyFont="1" applyFill="1" applyBorder="1" applyAlignment="1" applyProtection="1">
      <alignment horizontal="center" vertical="center"/>
      <protection hidden="1"/>
    </xf>
    <xf numFmtId="0" fontId="17" fillId="24" borderId="28" xfId="0" applyFont="1" applyFill="1" applyBorder="1" applyAlignment="1" applyProtection="1">
      <alignment horizontal="center" vertical="center"/>
      <protection hidden="1"/>
    </xf>
    <xf numFmtId="0" fontId="17" fillId="24" borderId="23" xfId="0" applyFont="1" applyFill="1" applyBorder="1" applyAlignment="1" applyProtection="1">
      <alignment horizontal="center" vertical="center"/>
      <protection hidden="1"/>
    </xf>
    <xf numFmtId="0" fontId="17" fillId="24" borderId="24" xfId="0" applyFont="1" applyFill="1" applyBorder="1" applyAlignment="1" applyProtection="1">
      <alignment horizontal="center" vertical="center"/>
      <protection hidden="1"/>
    </xf>
    <xf numFmtId="0" fontId="23" fillId="24" borderId="28" xfId="0" applyFont="1" applyFill="1" applyBorder="1" applyAlignment="1" applyProtection="1">
      <alignment horizontal="center" vertical="center"/>
      <protection hidden="1"/>
    </xf>
    <xf numFmtId="0" fontId="23" fillId="24" borderId="11" xfId="0" applyFont="1" applyFill="1" applyBorder="1" applyAlignment="1" applyProtection="1">
      <alignment horizontal="center" vertical="center"/>
      <protection hidden="1"/>
    </xf>
    <xf numFmtId="0" fontId="23" fillId="24" borderId="29" xfId="0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 applyProtection="1">
      <alignment horizontal="center" vertical="center"/>
      <protection hidden="1"/>
    </xf>
    <xf numFmtId="0" fontId="23" fillId="24" borderId="24" xfId="0" applyFont="1" applyFill="1" applyBorder="1" applyAlignment="1" applyProtection="1">
      <alignment horizontal="center" vertical="center"/>
      <protection hidden="1"/>
    </xf>
    <xf numFmtId="0" fontId="23" fillId="24" borderId="30" xfId="0" applyFont="1" applyFill="1" applyBorder="1" applyAlignment="1" applyProtection="1">
      <alignment horizontal="center" vertical="center"/>
      <protection hidden="1"/>
    </xf>
    <xf numFmtId="0" fontId="7" fillId="24" borderId="28" xfId="0" applyFont="1" applyFill="1" applyBorder="1" applyAlignment="1" applyProtection="1">
      <alignment horizontal="center" vertical="center"/>
      <protection hidden="1"/>
    </xf>
    <xf numFmtId="0" fontId="7" fillId="24" borderId="29" xfId="0" applyFont="1" applyFill="1" applyBorder="1" applyAlignment="1" applyProtection="1">
      <alignment horizontal="center" vertical="center"/>
      <protection hidden="1"/>
    </xf>
    <xf numFmtId="0" fontId="7" fillId="24" borderId="23" xfId="0" applyFont="1" applyFill="1" applyBorder="1" applyAlignment="1" applyProtection="1">
      <alignment horizontal="center" vertical="center"/>
      <protection hidden="1"/>
    </xf>
    <xf numFmtId="0" fontId="7" fillId="24" borderId="3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9">
    <dxf>
      <fill>
        <patternFill>
          <bgColor indexed="10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ont>
        <b/>
        <i val="0"/>
        <color auto="1"/>
      </font>
      <fill>
        <patternFill patternType="solid"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ont>
        <b/>
        <i val="0"/>
        <color auto="1"/>
      </font>
      <fill>
        <patternFill patternType="solid"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C58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6.00390625" style="1" customWidth="1"/>
    <col min="2" max="3" width="6.00390625" style="2" customWidth="1"/>
    <col min="4" max="20" width="5.8515625" style="2" customWidth="1"/>
    <col min="21" max="23" width="6.00390625" style="2" customWidth="1"/>
    <col min="24" max="25" width="5.8515625" style="2" customWidth="1"/>
    <col min="26" max="16384" width="11.421875" style="2" customWidth="1"/>
  </cols>
  <sheetData>
    <row r="1" spans="1:11" s="12" customFormat="1" ht="18" customHeight="1">
      <c r="A1" s="93" t="s">
        <v>33</v>
      </c>
      <c r="B1" s="93"/>
      <c r="C1" s="93"/>
      <c r="D1" s="93"/>
      <c r="E1" s="93"/>
      <c r="G1" s="93" t="s">
        <v>36</v>
      </c>
      <c r="H1" s="93"/>
      <c r="I1" s="93"/>
      <c r="J1" s="93"/>
      <c r="K1" s="93"/>
    </row>
    <row r="2" ht="13.5" customHeight="1">
      <c r="A2" s="2"/>
    </row>
    <row r="3" s="9" customFormat="1" ht="15">
      <c r="A3" s="8" t="s">
        <v>112</v>
      </c>
    </row>
    <row r="4" ht="13.5" customHeight="1">
      <c r="A4" s="86" t="s">
        <v>161</v>
      </c>
    </row>
    <row r="5" ht="13.5" customHeight="1">
      <c r="A5" s="86" t="s">
        <v>135</v>
      </c>
    </row>
    <row r="6" ht="13.5" customHeight="1">
      <c r="A6" s="86" t="s">
        <v>131</v>
      </c>
    </row>
    <row r="7" ht="13.5" customHeight="1">
      <c r="A7" s="86" t="s">
        <v>132</v>
      </c>
    </row>
    <row r="8" ht="13.5" customHeight="1">
      <c r="A8" s="3" t="s">
        <v>113</v>
      </c>
    </row>
    <row r="9" ht="13.5" customHeight="1"/>
    <row r="10" s="9" customFormat="1" ht="15">
      <c r="A10" s="8" t="s">
        <v>110</v>
      </c>
    </row>
    <row r="11" ht="13.5" customHeight="1">
      <c r="A11" s="1" t="s">
        <v>162</v>
      </c>
    </row>
    <row r="12" ht="13.5" customHeight="1">
      <c r="A12" s="1" t="s">
        <v>86</v>
      </c>
    </row>
    <row r="13" ht="13.5" customHeight="1">
      <c r="A13" s="1" t="s">
        <v>150</v>
      </c>
    </row>
    <row r="14" ht="13.5" customHeight="1">
      <c r="A14" s="1" t="s">
        <v>163</v>
      </c>
    </row>
    <row r="15" ht="13.5" customHeight="1">
      <c r="A15" s="1" t="s">
        <v>148</v>
      </c>
    </row>
    <row r="16" ht="13.5" customHeight="1"/>
    <row r="17" s="9" customFormat="1" ht="15">
      <c r="A17" s="8" t="s">
        <v>111</v>
      </c>
    </row>
    <row r="18" spans="1:25" s="1" customFormat="1" ht="13.5" customHeight="1">
      <c r="A18" s="1" t="s">
        <v>164</v>
      </c>
      <c r="I18" s="4"/>
      <c r="W18" s="94" t="str">
        <f>HYPERLINK("http://www.gymnasiale-oberstufe.bayern.de/faecherwahl-und-belegung/faecherwahl-q1112/interaktiver-faecherplaner.html","KM-Fächerplaner")</f>
        <v>KM-Fächerplaner</v>
      </c>
      <c r="X18" s="94"/>
      <c r="Y18" s="94"/>
    </row>
    <row r="19" spans="1:9" s="1" customFormat="1" ht="13.5" customHeight="1">
      <c r="A19" s="1" t="s">
        <v>147</v>
      </c>
      <c r="I19" s="4"/>
    </row>
    <row r="20" spans="1:9" s="1" customFormat="1" ht="13.5" customHeight="1">
      <c r="A20" s="1" t="s">
        <v>129</v>
      </c>
      <c r="I20" s="4"/>
    </row>
    <row r="21" spans="1:9" s="1" customFormat="1" ht="13.5" customHeight="1">
      <c r="A21" s="1" t="s">
        <v>160</v>
      </c>
      <c r="I21" s="4"/>
    </row>
    <row r="22" spans="1:9" s="1" customFormat="1" ht="13.5" customHeight="1">
      <c r="A22" s="1" t="s">
        <v>159</v>
      </c>
      <c r="I22" s="4"/>
    </row>
    <row r="23" spans="1:9" s="1" customFormat="1" ht="13.5" customHeight="1">
      <c r="A23" s="1" t="s">
        <v>158</v>
      </c>
      <c r="I23" s="4"/>
    </row>
    <row r="24" s="1" customFormat="1" ht="13.5" customHeight="1">
      <c r="I24" s="4"/>
    </row>
    <row r="25" s="9" customFormat="1" ht="15">
      <c r="A25" s="8" t="s">
        <v>109</v>
      </c>
    </row>
    <row r="26" spans="1:21" s="1" customFormat="1" ht="13.5" customHeight="1" thickBot="1">
      <c r="A26" s="41" t="s">
        <v>105</v>
      </c>
      <c r="K26" s="41" t="s">
        <v>119</v>
      </c>
      <c r="U26" s="41" t="s">
        <v>87</v>
      </c>
    </row>
    <row r="27" spans="1:24" s="1" customFormat="1" ht="13.5" customHeight="1" thickBot="1">
      <c r="A27" s="1" t="s">
        <v>57</v>
      </c>
      <c r="D27" s="13"/>
      <c r="K27" s="1" t="s">
        <v>77</v>
      </c>
      <c r="P27" s="13"/>
      <c r="Q27" s="13"/>
      <c r="R27" s="13"/>
      <c r="S27" s="13"/>
      <c r="U27" s="1" t="s">
        <v>89</v>
      </c>
      <c r="X27" s="13"/>
    </row>
    <row r="28" spans="1:24" s="1" customFormat="1" ht="13.5" customHeight="1" thickBot="1">
      <c r="A28" s="1" t="s">
        <v>75</v>
      </c>
      <c r="D28" s="13"/>
      <c r="E28" s="13"/>
      <c r="F28" s="13"/>
      <c r="G28" s="13"/>
      <c r="H28" s="13"/>
      <c r="I28" s="13"/>
      <c r="K28" s="1" t="s">
        <v>78</v>
      </c>
      <c r="P28" s="84"/>
      <c r="Q28" s="13"/>
      <c r="R28" s="13"/>
      <c r="S28" s="13"/>
      <c r="U28" s="1" t="s">
        <v>90</v>
      </c>
      <c r="X28" s="13"/>
    </row>
    <row r="29" spans="1:24" s="1" customFormat="1" ht="13.5" customHeight="1" thickBot="1">
      <c r="A29" s="3" t="s">
        <v>76</v>
      </c>
      <c r="D29" s="45" t="str">
        <f>IF(COUNTA(D27,D28:I28)&gt;2,ROUND(((D27+ROUND(SUM(D28:I28)/COUNT(D28:I28),2))/2),0),"N. A.")</f>
        <v>N. A.</v>
      </c>
      <c r="K29" s="3" t="s">
        <v>76</v>
      </c>
      <c r="P29" s="42" t="str">
        <f>IF(AND(COUNTA(P27:S27)&gt;=1,COUNTA(P28:S28)&gt;=1),ROUND(2/3*ROUND(SUM(P27:S27)/COUNT(P27:S27),2)+1/3*ROUND(SUM(P28:S28)/COUNT(P28:S28),2),0),"N. A.")</f>
        <v>N. A.</v>
      </c>
      <c r="U29" s="3" t="s">
        <v>76</v>
      </c>
      <c r="X29" s="5" t="str">
        <f>IF(COUNTA(X27:X28)=2,ROUND(3/2*X27+1/2*X28,0),"N. A.")</f>
        <v>N. A.</v>
      </c>
    </row>
    <row r="30" s="1" customFormat="1" ht="13.5" customHeight="1">
      <c r="D30" s="40"/>
    </row>
    <row r="31" spans="1:11" s="1" customFormat="1" ht="13.5" customHeight="1" thickBot="1">
      <c r="A31" s="41" t="s">
        <v>88</v>
      </c>
      <c r="D31" s="40"/>
      <c r="K31" s="41" t="s">
        <v>120</v>
      </c>
    </row>
    <row r="32" spans="1:16" s="1" customFormat="1" ht="13.5" customHeight="1" thickBot="1">
      <c r="A32" s="1" t="s">
        <v>57</v>
      </c>
      <c r="D32" s="13"/>
      <c r="K32" s="1" t="s">
        <v>130</v>
      </c>
      <c r="P32" s="13"/>
    </row>
    <row r="33" spans="1:19" s="1" customFormat="1" ht="13.5" customHeight="1" thickBot="1">
      <c r="A33" s="1" t="s">
        <v>79</v>
      </c>
      <c r="D33" s="13"/>
      <c r="K33" s="1" t="s">
        <v>91</v>
      </c>
      <c r="P33" s="13"/>
      <c r="Q33" s="88"/>
      <c r="R33" s="89"/>
      <c r="S33" s="89"/>
    </row>
    <row r="34" spans="1:19" s="1" customFormat="1" ht="13.5" customHeight="1" thickBot="1">
      <c r="A34" s="1" t="s">
        <v>75</v>
      </c>
      <c r="D34" s="13"/>
      <c r="E34" s="13"/>
      <c r="F34" s="13"/>
      <c r="G34" s="13"/>
      <c r="H34" s="13"/>
      <c r="I34" s="13"/>
      <c r="K34" s="1" t="s">
        <v>75</v>
      </c>
      <c r="P34" s="13"/>
      <c r="Q34" s="13"/>
      <c r="R34" s="13"/>
      <c r="S34" s="13"/>
    </row>
    <row r="35" spans="1:16" s="1" customFormat="1" ht="13.5" customHeight="1" thickBot="1">
      <c r="A35" s="3" t="s">
        <v>76</v>
      </c>
      <c r="D35" s="5" t="str">
        <f>IF(AND(COUNTA(D32:D33)=2,COUNTA(D34:I34)&gt;=1),ROUND((2/6*D32+3/6*D33+1/6*ROUND(SUM(D34:I34)/COUNT(D34:I34),2)),0),"N. A.")</f>
        <v>N. A.</v>
      </c>
      <c r="K35" s="3" t="s">
        <v>76</v>
      </c>
      <c r="P35" s="43" t="str">
        <f>IF(AND(COUNTA(P32:P33)=2,COUNTA(P34:S34)&gt;=1),ROUND(1/2*P32+1/2*ROUND(1/2*P33+1/2*ROUND(SUM(P34:S34)/COUNTA(P34:S34),2),0),0),"N. A.")</f>
        <v>N. A.</v>
      </c>
    </row>
    <row r="36" s="1" customFormat="1" ht="13.5" customHeight="1">
      <c r="T36" s="9"/>
    </row>
    <row r="37" spans="1:20" s="9" customFormat="1" ht="15">
      <c r="A37" s="8" t="s">
        <v>108</v>
      </c>
      <c r="C37" s="10"/>
      <c r="P37" s="11"/>
      <c r="Q37" s="11"/>
      <c r="R37" s="11"/>
      <c r="S37" s="11"/>
      <c r="T37" s="1"/>
    </row>
    <row r="38" spans="1:21" s="1" customFormat="1" ht="13.5" customHeight="1">
      <c r="A38" s="1" t="s">
        <v>100</v>
      </c>
      <c r="C38" s="6"/>
      <c r="P38" s="7"/>
      <c r="Q38" s="7"/>
      <c r="R38" s="7"/>
      <c r="S38" s="7"/>
      <c r="U38" s="6"/>
    </row>
    <row r="39" spans="1:29" s="1" customFormat="1" ht="13.5" customHeight="1">
      <c r="A39" s="1" t="s">
        <v>149</v>
      </c>
      <c r="C39" s="6"/>
      <c r="P39" s="7"/>
      <c r="Q39" s="7"/>
      <c r="R39" s="7"/>
      <c r="S39" s="7"/>
      <c r="U39" s="2"/>
      <c r="V39" s="2"/>
      <c r="W39" s="2"/>
      <c r="X39" s="2"/>
      <c r="Y39" s="2"/>
      <c r="Z39" s="2"/>
      <c r="AA39" s="2"/>
      <c r="AB39" s="2"/>
      <c r="AC39" s="2"/>
    </row>
    <row r="40" spans="1:21" s="1" customFormat="1" ht="13.5" customHeight="1">
      <c r="A40" s="1" t="s">
        <v>121</v>
      </c>
      <c r="C40" s="6"/>
      <c r="P40" s="7"/>
      <c r="Q40" s="7"/>
      <c r="R40" s="7"/>
      <c r="S40" s="7"/>
      <c r="U40" s="6"/>
    </row>
    <row r="41" spans="1:21" s="1" customFormat="1" ht="13.5" customHeight="1">
      <c r="A41" s="1" t="s">
        <v>128</v>
      </c>
      <c r="C41" s="6"/>
      <c r="P41" s="7"/>
      <c r="Q41" s="7"/>
      <c r="R41" s="7"/>
      <c r="S41" s="7"/>
      <c r="U41" s="6"/>
    </row>
    <row r="42" spans="1:21" s="1" customFormat="1" ht="13.5" customHeight="1">
      <c r="A42" s="1" t="s">
        <v>97</v>
      </c>
      <c r="C42" s="6"/>
      <c r="P42" s="7"/>
      <c r="Q42" s="7"/>
      <c r="R42" s="7"/>
      <c r="S42" s="7"/>
      <c r="U42" s="6"/>
    </row>
    <row r="43" spans="1:29" s="1" customFormat="1" ht="13.5" customHeight="1">
      <c r="A43" s="1" t="s">
        <v>157</v>
      </c>
      <c r="C43" s="6"/>
      <c r="P43" s="7"/>
      <c r="Q43" s="7"/>
      <c r="R43" s="7"/>
      <c r="S43" s="7"/>
      <c r="U43" s="75"/>
      <c r="V43" s="74"/>
      <c r="W43" s="74"/>
      <c r="X43" s="74"/>
      <c r="Y43" s="74"/>
      <c r="Z43" s="74"/>
      <c r="AA43" s="74"/>
      <c r="AB43" s="74"/>
      <c r="AC43" s="74"/>
    </row>
    <row r="44" spans="1:25" s="1" customFormat="1" ht="13.5" customHeight="1">
      <c r="A44" s="1" t="s">
        <v>122</v>
      </c>
      <c r="C44" s="6"/>
      <c r="P44" s="7"/>
      <c r="Q44" s="7"/>
      <c r="R44" s="7"/>
      <c r="S44" s="7"/>
      <c r="U44" s="6"/>
      <c r="W44" s="96" t="str">
        <f>HYPERLINK("http://www.gymnasium.bayern.de/gymnasialnetz/oberstufe/service/materialien/","Info-Broschüre")</f>
        <v>Info-Broschüre</v>
      </c>
      <c r="X44" s="96"/>
      <c r="Y44" s="96"/>
    </row>
    <row r="45" spans="1:29" s="1" customFormat="1" ht="13.5" customHeight="1">
      <c r="A45" s="1" t="s">
        <v>98</v>
      </c>
      <c r="C45" s="6"/>
      <c r="P45" s="7"/>
      <c r="Q45" s="7"/>
      <c r="R45" s="7"/>
      <c r="S45" s="7"/>
      <c r="U45" s="2"/>
      <c r="V45" s="2"/>
      <c r="W45" s="2"/>
      <c r="X45" s="2"/>
      <c r="Y45" s="2"/>
      <c r="Z45" s="2"/>
      <c r="AA45" s="2"/>
      <c r="AB45" s="2"/>
      <c r="AC45" s="2"/>
    </row>
    <row r="46" spans="21:29" ht="13.5" customHeight="1">
      <c r="U46" s="9"/>
      <c r="V46" s="9"/>
      <c r="W46" s="9"/>
      <c r="X46" s="9"/>
      <c r="Y46" s="9"/>
      <c r="Z46" s="9"/>
      <c r="AA46" s="9"/>
      <c r="AB46" s="9"/>
      <c r="AC46" s="9"/>
    </row>
    <row r="47" spans="1:29" s="9" customFormat="1" ht="15">
      <c r="A47" s="8" t="s">
        <v>136</v>
      </c>
      <c r="U47" s="2"/>
      <c r="V47" s="2"/>
      <c r="W47" s="2"/>
      <c r="X47" s="2"/>
      <c r="Y47" s="2"/>
      <c r="Z47" s="2"/>
      <c r="AA47" s="2"/>
      <c r="AB47" s="2"/>
      <c r="AC47" s="2"/>
    </row>
    <row r="48" ht="13.5" customHeight="1">
      <c r="A48" s="1" t="s">
        <v>165</v>
      </c>
    </row>
    <row r="49" ht="13.5" customHeight="1">
      <c r="A49" s="1" t="s">
        <v>151</v>
      </c>
    </row>
    <row r="50" ht="13.5" customHeight="1">
      <c r="A50" s="1" t="s">
        <v>142</v>
      </c>
    </row>
    <row r="51" ht="13.5" customHeight="1">
      <c r="A51" s="1" t="s">
        <v>141</v>
      </c>
    </row>
    <row r="52" spans="1:17" ht="13.5" customHeight="1">
      <c r="A52" s="85" t="s">
        <v>107</v>
      </c>
      <c r="J52" s="97" t="str">
        <f>HYPERLINK("http://de.wikipedia.org/wiki/Abitur_in_Bayern_%28G8%29","http://de.wikipedia.org/wiki/Abitur_in_Bayern_(G8)")</f>
        <v>http://de.wikipedia.org/wiki/Abitur_in_Bayern_(G8)</v>
      </c>
      <c r="K52" s="97"/>
      <c r="L52" s="97"/>
      <c r="M52" s="97"/>
      <c r="N52" s="97"/>
      <c r="O52" s="97"/>
      <c r="P52" s="97"/>
      <c r="Q52" s="97"/>
    </row>
    <row r="53" spans="1:16" ht="13.5" customHeight="1">
      <c r="A53" s="83" t="s">
        <v>106</v>
      </c>
      <c r="J53" s="94" t="str">
        <f>HYPERLINK("mailto:alex.nsk@t-online.de","alex.nsk@t-online.de")</f>
        <v>alex.nsk@t-online.de</v>
      </c>
      <c r="K53" s="95"/>
      <c r="L53" s="95"/>
      <c r="M53" s="95"/>
      <c r="N53" s="95"/>
      <c r="O53" s="95"/>
      <c r="P53" s="95"/>
    </row>
    <row r="54" spans="21:29" ht="13.5" customHeight="1">
      <c r="U54" s="9"/>
      <c r="V54" s="9"/>
      <c r="W54" s="9"/>
      <c r="X54" s="9"/>
      <c r="Y54" s="9"/>
      <c r="Z54" s="9"/>
      <c r="AA54" s="9"/>
      <c r="AB54" s="9"/>
      <c r="AC54" s="9"/>
    </row>
    <row r="55" spans="1:29" s="9" customFormat="1" ht="15">
      <c r="A55" s="8" t="s">
        <v>143</v>
      </c>
      <c r="U55" s="2"/>
      <c r="V55" s="2"/>
      <c r="W55" s="2"/>
      <c r="X55" s="2"/>
      <c r="Y55" s="2"/>
      <c r="Z55" s="2"/>
      <c r="AA55" s="2"/>
      <c r="AB55" s="2"/>
      <c r="AC55" s="2"/>
    </row>
    <row r="56" ht="13.5" customHeight="1">
      <c r="A56" s="1" t="s">
        <v>144</v>
      </c>
    </row>
    <row r="57" ht="13.5" customHeight="1">
      <c r="A57" s="1" t="s">
        <v>145</v>
      </c>
    </row>
    <row r="58" ht="13.5" customHeight="1">
      <c r="A58" s="1" t="s">
        <v>146</v>
      </c>
    </row>
  </sheetData>
  <sheetProtection password="D6F5" sheet="1"/>
  <mergeCells count="6">
    <mergeCell ref="A1:E1"/>
    <mergeCell ref="G1:K1"/>
    <mergeCell ref="J53:P53"/>
    <mergeCell ref="W44:Y44"/>
    <mergeCell ref="J52:Q52"/>
    <mergeCell ref="W18:Y18"/>
  </mergeCells>
  <dataValidations count="2">
    <dataValidation type="whole" allowBlank="1" showInputMessage="1" showErrorMessage="1" errorTitle="ungültige Dateneingabe" error="Geben Sie an dieser Stelle eine Zahl zwischen 0 und 15 ein!" sqref="D27 D28:I28 D32:D34 E34:I34 P32:P34 Q34:S34 P27:S28 X27:X28">
      <formula1>0</formula1>
      <formula2>15</formula2>
    </dataValidation>
    <dataValidation allowBlank="1" showInputMessage="1" showErrorMessage="1" errorTitle="ungültige Dateneingabe" error="Geben Sie an dieser Stelle eine Zahl zwischen 0 und 15 ein!" sqref="Q32:S33"/>
  </dataValidations>
  <hyperlinks>
    <hyperlink ref="G1:K1" location="Beispiel!E6" tooltip="Link zum Beispiel" display="Link zum Beispiel"/>
    <hyperlink ref="A1:E1" location="Programm!E6" tooltip="Link zum Programm" display="Link zum Programm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2" r:id="rId1"/>
  <rowBreaks count="1" manualBreakCount="1">
    <brk id="3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D6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45" width="5.8515625" style="16" customWidth="1"/>
    <col min="46" max="49" width="11.421875" style="16" customWidth="1"/>
    <col min="50" max="52" width="5.8515625" style="16" customWidth="1"/>
    <col min="53" max="57" width="5.8515625" style="53" hidden="1" customWidth="1"/>
    <col min="58" max="59" width="5.8515625" style="16" hidden="1" customWidth="1"/>
    <col min="60" max="64" width="5.8515625" style="17" hidden="1" customWidth="1"/>
    <col min="65" max="82" width="5.8515625" style="16" hidden="1" customWidth="1"/>
    <col min="83" max="104" width="0" style="16" hidden="1" customWidth="1"/>
    <col min="105" max="16384" width="11.421875" style="16" customWidth="1"/>
  </cols>
  <sheetData>
    <row r="1" spans="1:64" s="12" customFormat="1" ht="18" customHeight="1">
      <c r="A1" s="93" t="s">
        <v>34</v>
      </c>
      <c r="B1" s="93"/>
      <c r="C1" s="93"/>
      <c r="D1" s="93"/>
      <c r="E1" s="93"/>
      <c r="F1" s="91"/>
      <c r="G1" s="93" t="s">
        <v>36</v>
      </c>
      <c r="H1" s="93"/>
      <c r="I1" s="93"/>
      <c r="J1" s="93"/>
      <c r="K1" s="93"/>
      <c r="Q1" s="14"/>
      <c r="BA1" s="52"/>
      <c r="BB1" s="52"/>
      <c r="BC1" s="52"/>
      <c r="BD1" s="52"/>
      <c r="BE1" s="52"/>
      <c r="BH1" s="15"/>
      <c r="BI1" s="15"/>
      <c r="BJ1" s="15"/>
      <c r="BK1" s="15"/>
      <c r="BL1" s="15"/>
    </row>
    <row r="2" ht="12.75"/>
    <row r="3" spans="1:16" ht="15.75">
      <c r="A3" s="87" t="s">
        <v>28</v>
      </c>
      <c r="O3" s="18"/>
      <c r="P3" s="19"/>
    </row>
    <row r="4" spans="55:64" ht="12.75" customHeight="1">
      <c r="BC4" s="54" t="s">
        <v>27</v>
      </c>
      <c r="BD4" s="54" t="s">
        <v>58</v>
      </c>
      <c r="BH4" s="17" t="s">
        <v>37</v>
      </c>
      <c r="BI4" s="17" t="s">
        <v>67</v>
      </c>
      <c r="BJ4" s="16"/>
      <c r="BK4" s="16"/>
      <c r="BL4" s="16"/>
    </row>
    <row r="5" spans="1:64" ht="15.75" customHeight="1" thickBot="1">
      <c r="A5" s="20" t="s">
        <v>39</v>
      </c>
      <c r="E5" s="21" t="s">
        <v>80</v>
      </c>
      <c r="F5" s="21" t="s">
        <v>81</v>
      </c>
      <c r="G5" s="21" t="s">
        <v>82</v>
      </c>
      <c r="H5" s="21" t="s">
        <v>83</v>
      </c>
      <c r="J5" s="22" t="s">
        <v>84</v>
      </c>
      <c r="O5" s="100" t="s">
        <v>85</v>
      </c>
      <c r="P5" s="100"/>
      <c r="BA5" s="54">
        <v>0</v>
      </c>
      <c r="BB5" s="54">
        <v>0</v>
      </c>
      <c r="BC5" s="54">
        <v>0</v>
      </c>
      <c r="BD5" s="54">
        <v>0</v>
      </c>
      <c r="BE5" s="55">
        <v>0</v>
      </c>
      <c r="BF5" s="25">
        <v>0</v>
      </c>
      <c r="BG5" s="25">
        <v>0</v>
      </c>
      <c r="BH5" s="46">
        <v>0</v>
      </c>
      <c r="BI5" s="17">
        <v>0</v>
      </c>
      <c r="BJ5" s="17">
        <v>0</v>
      </c>
      <c r="BK5" s="17">
        <v>0</v>
      </c>
      <c r="BL5" s="17">
        <v>0</v>
      </c>
    </row>
    <row r="6" spans="1:64" ht="12.75" customHeight="1" thickBot="1">
      <c r="A6" s="103" t="s">
        <v>114</v>
      </c>
      <c r="B6" s="103"/>
      <c r="C6" s="103"/>
      <c r="D6" s="104"/>
      <c r="E6" s="44"/>
      <c r="F6" s="44"/>
      <c r="G6" s="44"/>
      <c r="H6" s="44"/>
      <c r="J6" s="30" t="s">
        <v>37</v>
      </c>
      <c r="K6" s="30" t="s">
        <v>37</v>
      </c>
      <c r="L6" s="30" t="s">
        <v>37</v>
      </c>
      <c r="M6" s="30" t="s">
        <v>37</v>
      </c>
      <c r="O6" s="101" t="s">
        <v>27</v>
      </c>
      <c r="P6" s="102"/>
      <c r="Q6" s="24"/>
      <c r="R6" s="24"/>
      <c r="S6" s="24"/>
      <c r="T6" s="24"/>
      <c r="BA6" s="54">
        <v>0</v>
      </c>
      <c r="BB6" s="56">
        <f aca="true" t="shared" si="0" ref="BB6:BE10">IF(AND(J6="Ja",E6&lt;&gt;0),E6,"")</f>
      </c>
      <c r="BC6" s="56">
        <f t="shared" si="0"/>
      </c>
      <c r="BD6" s="56">
        <f t="shared" si="0"/>
      </c>
      <c r="BE6" s="57">
        <f t="shared" si="0"/>
      </c>
      <c r="BF6" s="23">
        <f>IF(O6&lt;&gt;"",SUM(BB6:BE6),0)</f>
        <v>0</v>
      </c>
      <c r="BG6" s="25">
        <v>0</v>
      </c>
      <c r="BH6" s="46">
        <v>0</v>
      </c>
      <c r="BI6" s="17">
        <v>0</v>
      </c>
      <c r="BJ6" s="17">
        <v>0</v>
      </c>
      <c r="BK6" s="17">
        <v>0</v>
      </c>
      <c r="BL6" s="17">
        <v>0</v>
      </c>
    </row>
    <row r="7" spans="1:64" ht="12.75" customHeight="1" thickBot="1">
      <c r="A7" s="103" t="s">
        <v>115</v>
      </c>
      <c r="B7" s="103"/>
      <c r="C7" s="103"/>
      <c r="D7" s="104"/>
      <c r="E7" s="44"/>
      <c r="F7" s="44"/>
      <c r="G7" s="44"/>
      <c r="H7" s="44"/>
      <c r="J7" s="30" t="s">
        <v>37</v>
      </c>
      <c r="K7" s="30" t="s">
        <v>37</v>
      </c>
      <c r="L7" s="30" t="s">
        <v>37</v>
      </c>
      <c r="M7" s="30" t="s">
        <v>37</v>
      </c>
      <c r="O7" s="101" t="s">
        <v>27</v>
      </c>
      <c r="P7" s="102"/>
      <c r="Q7" s="24"/>
      <c r="R7" s="24"/>
      <c r="S7" s="24"/>
      <c r="T7" s="24"/>
      <c r="BA7" s="54">
        <v>0</v>
      </c>
      <c r="BB7" s="56">
        <f t="shared" si="0"/>
      </c>
      <c r="BC7" s="56">
        <f t="shared" si="0"/>
      </c>
      <c r="BD7" s="56">
        <f t="shared" si="0"/>
      </c>
      <c r="BE7" s="57">
        <f t="shared" si="0"/>
      </c>
      <c r="BF7" s="23">
        <f>IF(O7&lt;&gt;"",SUM(BB7:BE7),0)</f>
        <v>0</v>
      </c>
      <c r="BG7" s="25">
        <v>0</v>
      </c>
      <c r="BH7" s="46">
        <v>0</v>
      </c>
      <c r="BI7" s="17">
        <v>0</v>
      </c>
      <c r="BJ7" s="17">
        <v>0</v>
      </c>
      <c r="BK7" s="17">
        <v>0</v>
      </c>
      <c r="BL7" s="17">
        <v>0</v>
      </c>
    </row>
    <row r="8" spans="1:64" ht="12.75" customHeight="1" thickBot="1">
      <c r="A8" s="105" t="s">
        <v>134</v>
      </c>
      <c r="B8" s="105"/>
      <c r="C8" s="105"/>
      <c r="D8" s="106"/>
      <c r="E8" s="44"/>
      <c r="F8" s="44"/>
      <c r="G8" s="44"/>
      <c r="H8" s="44"/>
      <c r="J8" s="44"/>
      <c r="K8" s="44"/>
      <c r="L8" s="44"/>
      <c r="M8" s="44"/>
      <c r="O8" s="98"/>
      <c r="P8" s="99"/>
      <c r="Q8" s="24"/>
      <c r="R8" s="24"/>
      <c r="S8" s="24"/>
      <c r="T8" s="24"/>
      <c r="BA8" s="54">
        <v>0</v>
      </c>
      <c r="BB8" s="56">
        <f t="shared" si="0"/>
      </c>
      <c r="BC8" s="56">
        <f t="shared" si="0"/>
      </c>
      <c r="BD8" s="56">
        <f t="shared" si="0"/>
      </c>
      <c r="BE8" s="57">
        <f t="shared" si="0"/>
      </c>
      <c r="BF8" s="23">
        <f>IF(O8&lt;&gt;"",SUM(BB8:BE8),0)</f>
        <v>0</v>
      </c>
      <c r="BG8" s="23">
        <f>CODE(IF(AND(A8&lt;&gt;"",OR(O8="schriftlich",O8="mündlich")&lt;&gt;FALSE),A8,0))+IF(O8="schriftlich",100+ROW(),ROW())</f>
        <v>56</v>
      </c>
      <c r="BH8" s="47">
        <f>IF(BG8=LARGE($BG$8:$BG$22,1),"ABITURFACH 3",0)</f>
        <v>0</v>
      </c>
      <c r="BI8" s="21">
        <f>IF(BG8=LARGE($BG$8:$BG$22,2),"ABITURFACH 4",0)</f>
        <v>0</v>
      </c>
      <c r="BJ8" s="21">
        <f>IF(BG8=LARGE($BG$8:$BG$22,3),"ABITURFACH 5",0)</f>
        <v>0</v>
      </c>
      <c r="BK8" s="21">
        <f>IF(AND(A8&lt;&gt;0,BF8&gt;0),UPPER(IF(CODE(BH8)+CODE(BI8)+CODE(BJ8)&lt;&gt;144,A8,0)),0)</f>
        <v>0</v>
      </c>
      <c r="BL8" s="17">
        <v>0</v>
      </c>
    </row>
    <row r="9" spans="1:64" ht="12.75" customHeight="1" thickBot="1">
      <c r="A9" s="105" t="s">
        <v>41</v>
      </c>
      <c r="B9" s="105"/>
      <c r="C9" s="105"/>
      <c r="D9" s="106"/>
      <c r="E9" s="44"/>
      <c r="F9" s="44"/>
      <c r="G9" s="44"/>
      <c r="H9" s="44"/>
      <c r="J9" s="44"/>
      <c r="K9" s="44"/>
      <c r="L9" s="44"/>
      <c r="M9" s="44"/>
      <c r="O9" s="98"/>
      <c r="P9" s="99"/>
      <c r="Q9" s="24"/>
      <c r="R9" s="24"/>
      <c r="S9" s="24"/>
      <c r="T9" s="24"/>
      <c r="BA9" s="54">
        <v>0</v>
      </c>
      <c r="BB9" s="56">
        <f t="shared" si="0"/>
      </c>
      <c r="BC9" s="56">
        <f t="shared" si="0"/>
      </c>
      <c r="BD9" s="56">
        <f t="shared" si="0"/>
      </c>
      <c r="BE9" s="57">
        <f t="shared" si="0"/>
      </c>
      <c r="BF9" s="23">
        <f>IF(O9&lt;&gt;"",SUM(BB9:BE9),0)</f>
        <v>0</v>
      </c>
      <c r="BG9" s="23">
        <f>CODE(IF(AND(A9&lt;&gt;"",OR(O9="schriftlich",O9="mündlich")&lt;&gt;FALSE),A9,0))+IF(O9="schriftlich",100+ROW(),ROW())</f>
        <v>57</v>
      </c>
      <c r="BH9" s="47">
        <f>IF(BG9=LARGE($BG$8:$BG$22,1),"ABITURFACH 3",0)</f>
        <v>0</v>
      </c>
      <c r="BI9" s="21">
        <f>IF(BG9=LARGE($BG$8:$BG$22,2),"ABITURFACH 4",0)</f>
        <v>0</v>
      </c>
      <c r="BJ9" s="21">
        <f>IF(BG9=LARGE($BG$8:$BG$22,3),"ABITURFACH 5",0)</f>
        <v>0</v>
      </c>
      <c r="BK9" s="21">
        <f>IF(AND(A9&lt;&gt;0,BF9&gt;0),UPPER(IF(CODE(BH9)+CODE(BI9)+CODE(BJ9)&lt;&gt;144,A9,0)),0)</f>
        <v>0</v>
      </c>
      <c r="BL9" s="17">
        <v>0</v>
      </c>
    </row>
    <row r="10" spans="1:64" ht="12.75" customHeight="1" thickBot="1">
      <c r="A10" s="103" t="s">
        <v>117</v>
      </c>
      <c r="B10" s="103"/>
      <c r="C10" s="103"/>
      <c r="D10" s="104"/>
      <c r="E10" s="44"/>
      <c r="F10" s="44"/>
      <c r="G10" s="44"/>
      <c r="H10" s="44"/>
      <c r="J10" s="44"/>
      <c r="K10" s="44"/>
      <c r="L10" s="44"/>
      <c r="M10" s="44"/>
      <c r="O10" s="98"/>
      <c r="P10" s="99"/>
      <c r="Q10" s="24"/>
      <c r="R10" s="24"/>
      <c r="S10" s="24"/>
      <c r="T10" s="24"/>
      <c r="BA10" s="54">
        <v>0</v>
      </c>
      <c r="BB10" s="56">
        <f t="shared" si="0"/>
      </c>
      <c r="BC10" s="56">
        <f t="shared" si="0"/>
      </c>
      <c r="BD10" s="56">
        <f t="shared" si="0"/>
      </c>
      <c r="BE10" s="57">
        <f t="shared" si="0"/>
      </c>
      <c r="BF10" s="23">
        <f>IF(O10&lt;&gt;"",SUM(BB10:BE10),0)</f>
        <v>0</v>
      </c>
      <c r="BG10" s="23">
        <f>CODE(IF(AND(A10&lt;&gt;"",OR(O10="schriftlich",O10="mündlich")&lt;&gt;FALSE),A10,0))+IF(O10="schriftlich",100+ROW(),ROW())</f>
        <v>58</v>
      </c>
      <c r="BH10" s="47">
        <f>IF(BG10=LARGE($BG$8:$BG$22,1),"ABITURFACH 3",0)</f>
        <v>0</v>
      </c>
      <c r="BI10" s="21">
        <f>IF(BG10=LARGE($BG$8:$BG$22,2),"ABITURFACH 4",0)</f>
        <v>0</v>
      </c>
      <c r="BJ10" s="21">
        <f>IF(BG10=LARGE($BG$8:$BG$22,3),"ABITURFACH 5",0)</f>
        <v>0</v>
      </c>
      <c r="BK10" s="21">
        <f>IF(AND(A10&lt;&gt;0,BF10&gt;0),UPPER(IF(CODE(BH10)+CODE(BI10)+CODE(BJ10)&lt;&gt;144,A10,0)),0)</f>
        <v>0</v>
      </c>
      <c r="BL10" s="17">
        <v>0</v>
      </c>
    </row>
    <row r="11" spans="53:64" ht="12.75" customHeight="1">
      <c r="BA11" s="58" t="s">
        <v>116</v>
      </c>
      <c r="BB11" s="58" t="s">
        <v>134</v>
      </c>
      <c r="BC11" s="58"/>
      <c r="BD11" s="58" t="s">
        <v>41</v>
      </c>
      <c r="BE11" s="58" t="s">
        <v>22</v>
      </c>
      <c r="BF11" s="51"/>
      <c r="BG11" s="51"/>
      <c r="BH11" s="51"/>
      <c r="BI11" s="51"/>
      <c r="BJ11" s="51"/>
      <c r="BK11" s="51"/>
      <c r="BL11" s="51"/>
    </row>
    <row r="12" spans="1:64" ht="15.75" customHeight="1" thickBot="1">
      <c r="A12" s="20" t="s">
        <v>38</v>
      </c>
      <c r="E12" s="21" t="s">
        <v>80</v>
      </c>
      <c r="F12" s="21" t="s">
        <v>81</v>
      </c>
      <c r="G12" s="21" t="s">
        <v>82</v>
      </c>
      <c r="H12" s="21" t="s">
        <v>83</v>
      </c>
      <c r="J12" s="22" t="s">
        <v>84</v>
      </c>
      <c r="O12" s="100" t="s">
        <v>85</v>
      </c>
      <c r="P12" s="100"/>
      <c r="BA12" s="54">
        <v>0</v>
      </c>
      <c r="BB12" s="54">
        <v>0</v>
      </c>
      <c r="BC12" s="54">
        <v>0</v>
      </c>
      <c r="BD12" s="54">
        <v>0</v>
      </c>
      <c r="BE12" s="55">
        <v>0</v>
      </c>
      <c r="BF12" s="25">
        <v>0</v>
      </c>
      <c r="BG12" s="25">
        <v>0</v>
      </c>
      <c r="BH12" s="46">
        <v>0</v>
      </c>
      <c r="BI12" s="17">
        <v>0</v>
      </c>
      <c r="BJ12" s="17">
        <v>0</v>
      </c>
      <c r="BK12" s="17">
        <v>0</v>
      </c>
      <c r="BL12" s="17">
        <v>0</v>
      </c>
    </row>
    <row r="13" spans="1:64" ht="12.75" customHeight="1" thickBot="1">
      <c r="A13" s="105"/>
      <c r="B13" s="105"/>
      <c r="C13" s="105"/>
      <c r="D13" s="106"/>
      <c r="E13" s="44"/>
      <c r="F13" s="44"/>
      <c r="G13" s="44"/>
      <c r="H13" s="44"/>
      <c r="J13" s="30" t="s">
        <v>37</v>
      </c>
      <c r="K13" s="30" t="s">
        <v>37</v>
      </c>
      <c r="L13" s="30" t="s">
        <v>37</v>
      </c>
      <c r="M13" s="30" t="s">
        <v>37</v>
      </c>
      <c r="O13" s="98" t="s">
        <v>27</v>
      </c>
      <c r="P13" s="99"/>
      <c r="Q13" s="24"/>
      <c r="R13" s="24"/>
      <c r="S13" s="24"/>
      <c r="T13" s="24"/>
      <c r="BA13" s="54">
        <v>0</v>
      </c>
      <c r="BB13" s="56">
        <f aca="true" t="shared" si="1" ref="BB13:BE17">IF(AND(J13="Ja",E13&lt;&gt;0),E13,"")</f>
      </c>
      <c r="BC13" s="56">
        <f t="shared" si="1"/>
      </c>
      <c r="BD13" s="56">
        <f t="shared" si="1"/>
      </c>
      <c r="BE13" s="57">
        <f t="shared" si="1"/>
      </c>
      <c r="BF13" s="23">
        <f>IF(O13&lt;&gt;"",SUM(BB13:BE13),0)</f>
        <v>0</v>
      </c>
      <c r="BG13" s="23">
        <f>CODE(IF(AND(A13&lt;&gt;"",OR(O13="schriftlich",O13="mündlich")&lt;&gt;FALSE),A13,0))+IF(O13="schriftlich",100+ROW(),ROW())</f>
        <v>161</v>
      </c>
      <c r="BH13" s="47" t="str">
        <f>IF(BG13=LARGE($BG$8:$BG$22,1),"ABITURFACH 3",0)</f>
        <v>ABITURFACH 3</v>
      </c>
      <c r="BI13" s="21">
        <f>IF(BG13=LARGE($BG$8:$BG$22,2),"ABITURFACH 4",0)</f>
        <v>0</v>
      </c>
      <c r="BJ13" s="21">
        <f>IF(BG13=LARGE($BG$8:$BG$22,3),"ABITURFACH 5",0)</f>
        <v>0</v>
      </c>
      <c r="BK13" s="21">
        <f>IF(AND(A13&lt;&gt;0,BF13&gt;0),UPPER(IF(CODE(BH13)+CODE(BI13)+CODE(BJ13)&lt;&gt;144,A13,0)),0)</f>
        <v>0</v>
      </c>
      <c r="BL13" s="17">
        <v>0</v>
      </c>
    </row>
    <row r="14" spans="1:64" ht="12.75" customHeight="1" thickBot="1">
      <c r="A14" s="105"/>
      <c r="B14" s="105"/>
      <c r="C14" s="105"/>
      <c r="D14" s="106"/>
      <c r="E14" s="44"/>
      <c r="F14" s="44"/>
      <c r="G14" s="44"/>
      <c r="H14" s="44"/>
      <c r="J14" s="44"/>
      <c r="K14" s="44"/>
      <c r="L14" s="44"/>
      <c r="M14" s="44"/>
      <c r="O14" s="98"/>
      <c r="P14" s="99"/>
      <c r="Q14" s="24"/>
      <c r="R14" s="24"/>
      <c r="S14" s="24"/>
      <c r="T14" s="24"/>
      <c r="BA14" s="54">
        <v>0</v>
      </c>
      <c r="BB14" s="56">
        <f t="shared" si="1"/>
      </c>
      <c r="BC14" s="56">
        <f t="shared" si="1"/>
      </c>
      <c r="BD14" s="56">
        <f t="shared" si="1"/>
      </c>
      <c r="BE14" s="57">
        <f t="shared" si="1"/>
      </c>
      <c r="BF14" s="23">
        <f>IF(O14&lt;&gt;"",SUM(BB14:BE14),0)</f>
        <v>0</v>
      </c>
      <c r="BG14" s="23">
        <f>CODE(IF(AND(A14&lt;&gt;"",OR(O14="schriftlich",O14="mündlich")&lt;&gt;FALSE),A14,0))+IF(O14="schriftlich",100+ROW(),ROW())</f>
        <v>62</v>
      </c>
      <c r="BH14" s="47">
        <f>IF(BG14=LARGE($BG$8:$BG$22,1),"ABITURFACH 3",0)</f>
        <v>0</v>
      </c>
      <c r="BI14" s="21">
        <f>IF(BG14=LARGE($BG$8:$BG$22,2),"ABITURFACH 4",0)</f>
        <v>0</v>
      </c>
      <c r="BJ14" s="21">
        <f>IF(BG14=LARGE($BG$8:$BG$22,3),"ABITURFACH 5",0)</f>
        <v>0</v>
      </c>
      <c r="BK14" s="21">
        <f>IF(AND(A14&lt;&gt;0,BF14&gt;0),UPPER(IF(CODE(BH14)+CODE(BI14)+CODE(BJ14)&lt;&gt;144,A14,0)),0)</f>
        <v>0</v>
      </c>
      <c r="BL14" s="17">
        <v>0</v>
      </c>
    </row>
    <row r="15" spans="1:64" ht="12.75" customHeight="1" thickBot="1">
      <c r="A15" s="105"/>
      <c r="B15" s="105"/>
      <c r="C15" s="105"/>
      <c r="D15" s="106"/>
      <c r="E15" s="44"/>
      <c r="F15" s="44"/>
      <c r="G15" s="44"/>
      <c r="H15" s="44"/>
      <c r="J15" s="44"/>
      <c r="K15" s="44"/>
      <c r="L15" s="44"/>
      <c r="M15" s="44"/>
      <c r="O15" s="98"/>
      <c r="P15" s="99"/>
      <c r="Q15" s="24"/>
      <c r="R15" s="24"/>
      <c r="S15" s="24"/>
      <c r="T15" s="24"/>
      <c r="BA15" s="54">
        <v>0</v>
      </c>
      <c r="BB15" s="56">
        <f t="shared" si="1"/>
      </c>
      <c r="BC15" s="56">
        <f t="shared" si="1"/>
      </c>
      <c r="BD15" s="56">
        <f t="shared" si="1"/>
      </c>
      <c r="BE15" s="57">
        <f t="shared" si="1"/>
      </c>
      <c r="BF15" s="23">
        <f>IF(O15&lt;&gt;"",SUM(BB15:BE15),0)</f>
        <v>0</v>
      </c>
      <c r="BG15" s="23">
        <f>CODE(IF(AND(A15&lt;&gt;"",OR(O15="schriftlich",O15="mündlich")&lt;&gt;FALSE),A15,0))+IF(O15="schriftlich",100+ROW(),ROW())</f>
        <v>63</v>
      </c>
      <c r="BH15" s="47">
        <f>IF(BG15=LARGE($BG$8:$BG$22,1),"ABITURFACH 3",0)</f>
        <v>0</v>
      </c>
      <c r="BI15" s="21">
        <f>IF(BG15=LARGE($BG$8:$BG$22,2),"ABITURFACH 4",0)</f>
        <v>0</v>
      </c>
      <c r="BJ15" s="21">
        <f>IF(BG15=LARGE($BG$8:$BG$22,3),"ABITURFACH 5",0)</f>
        <v>0</v>
      </c>
      <c r="BK15" s="21">
        <f>IF(AND(A15&lt;&gt;0,BF15&gt;0),UPPER(IF(CODE(BH15)+CODE(BI15)+CODE(BJ15)&lt;&gt;144,A15,0)),0)</f>
        <v>0</v>
      </c>
      <c r="BL15" s="17">
        <v>0</v>
      </c>
    </row>
    <row r="16" spans="1:64" ht="12.75" customHeight="1" thickBot="1">
      <c r="A16" s="105"/>
      <c r="B16" s="105"/>
      <c r="C16" s="105"/>
      <c r="D16" s="106"/>
      <c r="E16" s="44"/>
      <c r="F16" s="44"/>
      <c r="G16" s="44"/>
      <c r="H16" s="44"/>
      <c r="J16" s="44"/>
      <c r="K16" s="44"/>
      <c r="L16" s="44"/>
      <c r="M16" s="44"/>
      <c r="O16" s="98"/>
      <c r="P16" s="99"/>
      <c r="Q16" s="24"/>
      <c r="R16" s="24"/>
      <c r="S16" s="24"/>
      <c r="T16" s="24"/>
      <c r="BA16" s="54">
        <v>0</v>
      </c>
      <c r="BB16" s="56">
        <f t="shared" si="1"/>
      </c>
      <c r="BC16" s="56">
        <f t="shared" si="1"/>
      </c>
      <c r="BD16" s="56">
        <f t="shared" si="1"/>
      </c>
      <c r="BE16" s="57">
        <f t="shared" si="1"/>
      </c>
      <c r="BF16" s="23">
        <f>IF(O16&lt;&gt;"",SUM(BB16:BE16),0)</f>
        <v>0</v>
      </c>
      <c r="BG16" s="23">
        <f>CODE(IF(AND(A16&lt;&gt;"",OR(O16="schriftlich",O16="mündlich")&lt;&gt;FALSE),A16,0))+IF(O16="schriftlich",100+ROW(),ROW())</f>
        <v>64</v>
      </c>
      <c r="BH16" s="47">
        <f>IF(BG16=LARGE($BG$8:$BG$22,1),"ABITURFACH 3",0)</f>
        <v>0</v>
      </c>
      <c r="BI16" s="21">
        <f>IF(BG16=LARGE($BG$8:$BG$22,2),"ABITURFACH 4",0)</f>
        <v>0</v>
      </c>
      <c r="BJ16" s="21">
        <f>IF(BG16=LARGE($BG$8:$BG$22,3),"ABITURFACH 5",0)</f>
        <v>0</v>
      </c>
      <c r="BK16" s="21">
        <f>IF(AND(A16&lt;&gt;0,BF16&gt;0),UPPER(IF(CODE(BH16)+CODE(BI16)+CODE(BJ16)&lt;&gt;144,A16,0)),0)</f>
        <v>0</v>
      </c>
      <c r="BL16" s="17">
        <v>0</v>
      </c>
    </row>
    <row r="17" spans="1:64" ht="12.75" customHeight="1" thickBot="1">
      <c r="A17" s="105"/>
      <c r="B17" s="105"/>
      <c r="C17" s="105"/>
      <c r="D17" s="106"/>
      <c r="E17" s="44"/>
      <c r="F17" s="44"/>
      <c r="G17" s="44"/>
      <c r="H17" s="44"/>
      <c r="J17" s="44"/>
      <c r="K17" s="44"/>
      <c r="L17" s="44"/>
      <c r="M17" s="44"/>
      <c r="O17" s="98"/>
      <c r="P17" s="99"/>
      <c r="Q17" s="24"/>
      <c r="R17" s="24"/>
      <c r="S17" s="24"/>
      <c r="T17" s="24"/>
      <c r="BA17" s="54">
        <v>0</v>
      </c>
      <c r="BB17" s="56">
        <f t="shared" si="1"/>
      </c>
      <c r="BC17" s="56">
        <f t="shared" si="1"/>
      </c>
      <c r="BD17" s="56">
        <f t="shared" si="1"/>
      </c>
      <c r="BE17" s="57">
        <f t="shared" si="1"/>
      </c>
      <c r="BF17" s="23">
        <f>IF(O17&lt;&gt;"",SUM(BB17:BE17),0)</f>
        <v>0</v>
      </c>
      <c r="BG17" s="23">
        <f>CODE(IF(AND(A17&lt;&gt;"",OR(O17="schriftlich",O17="mündlich")&lt;&gt;FALSE),A17,0))+IF(O17="schriftlich",100+ROW(),ROW())</f>
        <v>65</v>
      </c>
      <c r="BH17" s="47">
        <f>IF(BG17=LARGE($BG$8:$BG$22,1),"ABITURFACH 3",0)</f>
        <v>0</v>
      </c>
      <c r="BI17" s="21">
        <f>IF(BG17=LARGE($BG$8:$BG$22,2),"ABITURFACH 4",0)</f>
        <v>0</v>
      </c>
      <c r="BJ17" s="21">
        <f>IF(BG17=LARGE($BG$8:$BG$22,3),"ABITURFACH 5",0)</f>
        <v>0</v>
      </c>
      <c r="BK17" s="21">
        <f>IF(AND(A17&lt;&gt;0,BF17&gt;0),UPPER(IF(CODE(BH17)+CODE(BI17)+CODE(BJ17)&lt;&gt;144,A17,0)),0)</f>
        <v>0</v>
      </c>
      <c r="BL17" s="17">
        <v>0</v>
      </c>
    </row>
    <row r="18" spans="53:78" ht="12.75" customHeight="1">
      <c r="BA18" s="58" t="s">
        <v>23</v>
      </c>
      <c r="BB18" s="58" t="s">
        <v>26</v>
      </c>
      <c r="BC18" s="58" t="s">
        <v>2</v>
      </c>
      <c r="BD18" s="58" t="s">
        <v>42</v>
      </c>
      <c r="BE18" s="58" t="s">
        <v>25</v>
      </c>
      <c r="BF18" s="58" t="s">
        <v>24</v>
      </c>
      <c r="BG18" s="51" t="s">
        <v>43</v>
      </c>
      <c r="BH18" s="51"/>
      <c r="BI18" s="51" t="s">
        <v>15</v>
      </c>
      <c r="BJ18" s="51" t="s">
        <v>1</v>
      </c>
      <c r="BK18" s="51" t="s">
        <v>14</v>
      </c>
      <c r="BL18" s="51" t="s">
        <v>9</v>
      </c>
      <c r="BM18" s="51" t="s">
        <v>11</v>
      </c>
      <c r="BN18" s="51" t="s">
        <v>18</v>
      </c>
      <c r="BO18" s="16" t="s">
        <v>44</v>
      </c>
      <c r="BP18" s="16" t="s">
        <v>12</v>
      </c>
      <c r="BQ18" s="16" t="s">
        <v>10</v>
      </c>
      <c r="BR18" s="16" t="s">
        <v>45</v>
      </c>
      <c r="BS18" s="16" t="s">
        <v>46</v>
      </c>
      <c r="BT18" s="16" t="s">
        <v>49</v>
      </c>
      <c r="BV18" s="16" t="s">
        <v>47</v>
      </c>
      <c r="BW18" s="16" t="s">
        <v>48</v>
      </c>
      <c r="BX18" s="39"/>
      <c r="BY18" s="16" t="s">
        <v>0</v>
      </c>
      <c r="BZ18" s="16" t="s">
        <v>19</v>
      </c>
    </row>
    <row r="19" spans="1:64" ht="15.75" customHeight="1" thickBot="1">
      <c r="A19" s="20" t="s">
        <v>40</v>
      </c>
      <c r="E19" s="21" t="s">
        <v>80</v>
      </c>
      <c r="F19" s="21" t="s">
        <v>81</v>
      </c>
      <c r="G19" s="21" t="s">
        <v>82</v>
      </c>
      <c r="H19" s="21" t="s">
        <v>83</v>
      </c>
      <c r="J19" s="22" t="s">
        <v>84</v>
      </c>
      <c r="O19" s="100" t="s">
        <v>85</v>
      </c>
      <c r="P19" s="100"/>
      <c r="BA19" s="54">
        <v>0</v>
      </c>
      <c r="BB19" s="54">
        <v>0</v>
      </c>
      <c r="BC19" s="54">
        <v>0</v>
      </c>
      <c r="BD19" s="54">
        <v>0</v>
      </c>
      <c r="BE19" s="55">
        <v>0</v>
      </c>
      <c r="BF19" s="25">
        <v>0</v>
      </c>
      <c r="BG19" s="25">
        <v>0</v>
      </c>
      <c r="BH19" s="46">
        <v>0</v>
      </c>
      <c r="BI19" s="17">
        <v>0</v>
      </c>
      <c r="BJ19" s="17">
        <v>0</v>
      </c>
      <c r="BK19" s="17">
        <v>0</v>
      </c>
      <c r="BL19" s="17">
        <v>0</v>
      </c>
    </row>
    <row r="20" spans="1:64" ht="12.75" customHeight="1" thickBot="1">
      <c r="A20" s="105"/>
      <c r="B20" s="105"/>
      <c r="C20" s="105"/>
      <c r="D20" s="106"/>
      <c r="E20" s="44"/>
      <c r="F20" s="44"/>
      <c r="G20" s="44"/>
      <c r="H20" s="44"/>
      <c r="J20" s="44"/>
      <c r="K20" s="44"/>
      <c r="L20" s="44"/>
      <c r="M20" s="44"/>
      <c r="O20" s="98"/>
      <c r="P20" s="99"/>
      <c r="Q20" s="24"/>
      <c r="R20" s="24"/>
      <c r="S20" s="24"/>
      <c r="T20" s="24"/>
      <c r="BA20" s="54">
        <v>0</v>
      </c>
      <c r="BB20" s="56">
        <f aca="true" t="shared" si="2" ref="BB20:BE24">IF(AND(J20="Ja",E20&lt;&gt;0),E20,"")</f>
      </c>
      <c r="BC20" s="56">
        <f t="shared" si="2"/>
      </c>
      <c r="BD20" s="56">
        <f t="shared" si="2"/>
      </c>
      <c r="BE20" s="57">
        <f t="shared" si="2"/>
      </c>
      <c r="BF20" s="23">
        <f>IF(O20&lt;&gt;"",SUM(BB20:BE20),0)</f>
        <v>0</v>
      </c>
      <c r="BG20" s="23">
        <f>CODE(IF(AND(A20&lt;&gt;"",OR(O20="schriftlich",O20="mündlich")&lt;&gt;FALSE),A20,0))+IF(O20="schriftlich",100+ROW(),ROW())</f>
        <v>68</v>
      </c>
      <c r="BH20" s="47">
        <f>IF(BG20=LARGE($BG$8:$BG$22,1),"ABITURFACH 3",0)</f>
        <v>0</v>
      </c>
      <c r="BI20" s="21">
        <f>IF(BG20=LARGE($BG$8:$BG$22,2),"ABITURFACH 4",0)</f>
        <v>0</v>
      </c>
      <c r="BJ20" s="21">
        <f>IF(BG20=LARGE($BG$8:$BG$22,3),"ABITURFACH 5",0)</f>
        <v>0</v>
      </c>
      <c r="BK20" s="21">
        <f>IF(AND(A20&lt;&gt;0,BF20&gt;0),UPPER(IF(CODE(BH20)+CODE(BI20)+CODE(BJ20)&lt;&gt;144,A20,0)),0)</f>
        <v>0</v>
      </c>
      <c r="BL20" s="17">
        <v>0</v>
      </c>
    </row>
    <row r="21" spans="1:64" ht="12.75" customHeight="1" thickBot="1">
      <c r="A21" s="105"/>
      <c r="B21" s="105"/>
      <c r="C21" s="105"/>
      <c r="D21" s="106"/>
      <c r="E21" s="44"/>
      <c r="F21" s="44"/>
      <c r="G21" s="44"/>
      <c r="H21" s="44"/>
      <c r="J21" s="44"/>
      <c r="K21" s="44"/>
      <c r="L21" s="44"/>
      <c r="M21" s="44"/>
      <c r="O21" s="98"/>
      <c r="P21" s="99"/>
      <c r="Q21" s="24"/>
      <c r="R21" s="24"/>
      <c r="S21" s="24"/>
      <c r="T21" s="24"/>
      <c r="BA21" s="54">
        <v>0</v>
      </c>
      <c r="BB21" s="56">
        <f t="shared" si="2"/>
      </c>
      <c r="BC21" s="56">
        <f t="shared" si="2"/>
      </c>
      <c r="BD21" s="56">
        <f t="shared" si="2"/>
      </c>
      <c r="BE21" s="57">
        <f t="shared" si="2"/>
      </c>
      <c r="BF21" s="23">
        <f>IF(O21&lt;&gt;"",SUM(BB21:BE21),0)</f>
        <v>0</v>
      </c>
      <c r="BG21" s="23">
        <f>CODE(IF(AND(A21&lt;&gt;"",OR(O21="schriftlich",O21="mündlich")&lt;&gt;FALSE),A21,0))+IF(O21="schriftlich",100+ROW(),ROW())</f>
        <v>69</v>
      </c>
      <c r="BH21" s="47">
        <f>IF(BG21=LARGE($BG$8:$BG$22,1),"ABITURFACH 3",0)</f>
        <v>0</v>
      </c>
      <c r="BI21" s="21">
        <f>IF(BG21=LARGE($BG$8:$BG$22,2),"ABITURFACH 4",0)</f>
        <v>0</v>
      </c>
      <c r="BJ21" s="21" t="str">
        <f>IF(BG21=LARGE($BG$8:$BG$22,3),"ABITURFACH 5",0)</f>
        <v>ABITURFACH 5</v>
      </c>
      <c r="BK21" s="21">
        <f>IF(AND(A21&lt;&gt;0,BF21&gt;0),UPPER(IF(CODE(BH21)+CODE(BI21)+CODE(BJ21)&lt;&gt;144,A21,0)),0)</f>
        <v>0</v>
      </c>
      <c r="BL21" s="17">
        <v>0</v>
      </c>
    </row>
    <row r="22" spans="1:64" ht="12.75" customHeight="1" thickBot="1">
      <c r="A22" s="105"/>
      <c r="B22" s="105"/>
      <c r="C22" s="105"/>
      <c r="D22" s="106"/>
      <c r="E22" s="44"/>
      <c r="F22" s="44"/>
      <c r="G22" s="44"/>
      <c r="H22" s="44"/>
      <c r="J22" s="44"/>
      <c r="K22" s="44"/>
      <c r="L22" s="44"/>
      <c r="M22" s="44"/>
      <c r="O22" s="98"/>
      <c r="P22" s="99"/>
      <c r="Q22" s="24"/>
      <c r="R22" s="24"/>
      <c r="S22" s="24"/>
      <c r="T22" s="24"/>
      <c r="BA22" s="54">
        <v>0</v>
      </c>
      <c r="BB22" s="56">
        <f t="shared" si="2"/>
      </c>
      <c r="BC22" s="56">
        <f t="shared" si="2"/>
      </c>
      <c r="BD22" s="56">
        <f t="shared" si="2"/>
      </c>
      <c r="BE22" s="57">
        <f t="shared" si="2"/>
      </c>
      <c r="BF22" s="23">
        <f>IF(O22&lt;&gt;"",SUM(BB22:BE22),0)</f>
        <v>0</v>
      </c>
      <c r="BG22" s="23">
        <f>CODE(IF(AND(A22&lt;&gt;"",OR(O22="schriftlich",O22="mündlich")&lt;&gt;FALSE),A22,0))+IF(O22="schriftlich",100+ROW(),ROW())</f>
        <v>70</v>
      </c>
      <c r="BH22" s="47">
        <f>IF(BG22=LARGE($BG$8:$BG$22,1),"ABITURFACH 3",0)</f>
        <v>0</v>
      </c>
      <c r="BI22" s="21" t="str">
        <f>IF(BG22=LARGE($BG$8:$BG$22,2),"ABITURFACH 4",0)</f>
        <v>ABITURFACH 4</v>
      </c>
      <c r="BJ22" s="21">
        <f>IF(BG22=LARGE($BG$8:$BG$22,3),"ABITURFACH 5",0)</f>
        <v>0</v>
      </c>
      <c r="BK22" s="21">
        <f>IF(AND(A22&lt;&gt;0,BF22&gt;0),UPPER(IF(CODE(BH22)+CODE(BI22)+CODE(BJ22)&lt;&gt;144,A22,0)),0)</f>
        <v>0</v>
      </c>
      <c r="BL22" s="17">
        <v>0</v>
      </c>
    </row>
    <row r="23" spans="1:64" ht="12.75" customHeight="1" thickBot="1">
      <c r="A23" s="103" t="s">
        <v>59</v>
      </c>
      <c r="B23" s="103"/>
      <c r="C23" s="103"/>
      <c r="D23" s="104"/>
      <c r="E23" s="44"/>
      <c r="F23" s="44"/>
      <c r="G23" s="44"/>
      <c r="H23" s="78"/>
      <c r="J23" s="30" t="s">
        <v>37</v>
      </c>
      <c r="K23" s="30" t="s">
        <v>37</v>
      </c>
      <c r="L23" s="30" t="s">
        <v>37</v>
      </c>
      <c r="O23" s="103"/>
      <c r="P23" s="103"/>
      <c r="BA23" s="59">
        <v>0</v>
      </c>
      <c r="BB23" s="60">
        <f t="shared" si="2"/>
      </c>
      <c r="BC23" s="60">
        <f t="shared" si="2"/>
      </c>
      <c r="BD23" s="60">
        <f t="shared" si="2"/>
      </c>
      <c r="BE23" s="61">
        <f t="shared" si="2"/>
      </c>
      <c r="BF23" s="48">
        <v>0</v>
      </c>
      <c r="BG23" s="48">
        <v>0</v>
      </c>
      <c r="BH23" s="50">
        <f>IF(BB23&lt;&gt;"",BB23,0)</f>
        <v>0</v>
      </c>
      <c r="BI23" s="49">
        <f>IF(BC23&lt;&gt;"",BC23,0)</f>
        <v>0</v>
      </c>
      <c r="BJ23" s="49">
        <f>IF(BD23&lt;&gt;"",BD23,0)</f>
        <v>0</v>
      </c>
      <c r="BK23" s="48">
        <v>0</v>
      </c>
      <c r="BL23" s="48">
        <v>0</v>
      </c>
    </row>
    <row r="24" spans="1:64" ht="12.75" customHeight="1" thickBot="1">
      <c r="A24" s="103" t="s">
        <v>60</v>
      </c>
      <c r="B24" s="103"/>
      <c r="C24" s="103"/>
      <c r="D24" s="107"/>
      <c r="E24" s="26"/>
      <c r="G24" s="44"/>
      <c r="H24" s="78"/>
      <c r="L24" s="30" t="s">
        <v>37</v>
      </c>
      <c r="O24" s="107"/>
      <c r="P24" s="107"/>
      <c r="Q24" s="24"/>
      <c r="R24" s="24"/>
      <c r="S24" s="24"/>
      <c r="T24" s="24"/>
      <c r="BA24" s="54">
        <v>0</v>
      </c>
      <c r="BB24" s="56">
        <f t="shared" si="2"/>
      </c>
      <c r="BC24" s="56">
        <f t="shared" si="2"/>
      </c>
      <c r="BD24" s="56">
        <f t="shared" si="2"/>
      </c>
      <c r="BE24" s="57">
        <f t="shared" si="2"/>
      </c>
      <c r="BF24" s="25">
        <v>0</v>
      </c>
      <c r="BG24" s="25">
        <v>0</v>
      </c>
      <c r="BH24" s="46">
        <v>0</v>
      </c>
      <c r="BI24" s="17">
        <v>0</v>
      </c>
      <c r="BJ24" s="21">
        <f>IF(BD24&lt;&gt;"",BD24,0)</f>
        <v>0</v>
      </c>
      <c r="BK24" s="17">
        <v>0</v>
      </c>
      <c r="BL24" s="17">
        <v>0</v>
      </c>
    </row>
    <row r="25" spans="53:64" ht="12.75" customHeight="1"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</row>
    <row r="26" spans="53:82" ht="12.75" customHeight="1">
      <c r="BA26" s="16" t="s">
        <v>137</v>
      </c>
      <c r="BB26" s="53" t="s">
        <v>52</v>
      </c>
      <c r="BC26" s="53" t="s">
        <v>16</v>
      </c>
      <c r="BD26" s="53" t="s">
        <v>61</v>
      </c>
      <c r="BE26" s="53" t="s">
        <v>14</v>
      </c>
      <c r="BF26" s="53" t="s">
        <v>56</v>
      </c>
      <c r="BG26" s="53" t="s">
        <v>1</v>
      </c>
      <c r="BH26" s="16" t="s">
        <v>17</v>
      </c>
      <c r="BI26" s="16" t="s">
        <v>101</v>
      </c>
      <c r="BJ26" s="16" t="s">
        <v>9</v>
      </c>
      <c r="BK26" s="16" t="s">
        <v>11</v>
      </c>
      <c r="BL26" s="16" t="s">
        <v>47</v>
      </c>
      <c r="BM26" s="16" t="s">
        <v>44</v>
      </c>
      <c r="BN26" s="16" t="s">
        <v>53</v>
      </c>
      <c r="BO26" s="16" t="s">
        <v>12</v>
      </c>
      <c r="BP26" s="16" t="s">
        <v>138</v>
      </c>
      <c r="BQ26" s="16" t="s">
        <v>18</v>
      </c>
      <c r="BR26" s="16" t="s">
        <v>139</v>
      </c>
      <c r="BS26" s="16" t="s">
        <v>21</v>
      </c>
      <c r="BT26" s="16" t="s">
        <v>50</v>
      </c>
      <c r="BU26" s="16" t="s">
        <v>140</v>
      </c>
      <c r="BV26" s="16" t="s">
        <v>15</v>
      </c>
      <c r="BW26" s="16" t="s">
        <v>51</v>
      </c>
      <c r="BX26" s="16" t="s">
        <v>45</v>
      </c>
      <c r="BY26" s="16" t="s">
        <v>13</v>
      </c>
      <c r="BZ26" s="16" t="s">
        <v>55</v>
      </c>
      <c r="CA26" s="16" t="s">
        <v>10</v>
      </c>
      <c r="CB26" s="16" t="s">
        <v>48</v>
      </c>
      <c r="CC26" s="16" t="s">
        <v>54</v>
      </c>
      <c r="CD26" s="16" t="s">
        <v>20</v>
      </c>
    </row>
    <row r="27" spans="1:64" ht="15.75">
      <c r="A27" s="87" t="s">
        <v>68</v>
      </c>
      <c r="BH27" s="16"/>
      <c r="BI27" s="16"/>
      <c r="BJ27" s="16"/>
      <c r="BK27" s="16"/>
      <c r="BL27" s="16"/>
    </row>
    <row r="28" spans="53:64" ht="12.75" customHeight="1">
      <c r="BA28" s="54" t="s">
        <v>95</v>
      </c>
      <c r="BB28" s="54" t="s">
        <v>94</v>
      </c>
      <c r="BC28" s="54" t="s">
        <v>93</v>
      </c>
      <c r="BD28" s="54" t="s">
        <v>96</v>
      </c>
      <c r="BH28" s="16"/>
      <c r="BI28" s="16"/>
      <c r="BJ28" s="16"/>
      <c r="BK28" s="16"/>
      <c r="BL28" s="16"/>
    </row>
    <row r="29" spans="1:64" ht="15.75" customHeight="1" thickBot="1">
      <c r="A29" s="20" t="s">
        <v>39</v>
      </c>
      <c r="F29" s="20" t="s">
        <v>38</v>
      </c>
      <c r="K29" s="20" t="s">
        <v>40</v>
      </c>
      <c r="M29" s="17"/>
      <c r="P29" s="20" t="s">
        <v>62</v>
      </c>
      <c r="R29" s="17"/>
      <c r="BA29" s="62">
        <v>300</v>
      </c>
      <c r="BB29" s="63">
        <f>IF($E$50-BA29+1&gt;0,$E$50-BA29+1,1337)</f>
        <v>1337</v>
      </c>
      <c r="BC29" s="63">
        <f aca="true" t="shared" si="3" ref="BC29:BC59">IF(BA29-$E$50&gt;0,BA29-$E$50,1337)</f>
        <v>300</v>
      </c>
      <c r="BD29" s="67">
        <v>4</v>
      </c>
      <c r="BH29" s="16"/>
      <c r="BI29" s="16"/>
      <c r="BJ29" s="16"/>
      <c r="BK29" s="16"/>
      <c r="BL29" s="16"/>
    </row>
    <row r="30" spans="1:64" ht="13.5" thickBot="1">
      <c r="A30" s="16" t="s">
        <v>64</v>
      </c>
      <c r="D30" s="30">
        <f>COUNT(BB6:BE10)</f>
        <v>0</v>
      </c>
      <c r="F30" s="16" t="s">
        <v>64</v>
      </c>
      <c r="I30" s="30">
        <f>COUNT(BB13:BE17)</f>
        <v>0</v>
      </c>
      <c r="K30" s="16" t="s">
        <v>64</v>
      </c>
      <c r="N30" s="30">
        <f>COUNT(BB20:BE22)+COUNT(BB23:BC23)+2*COUNT(BD23:BD24)</f>
        <v>0</v>
      </c>
      <c r="P30" s="16" t="s">
        <v>64</v>
      </c>
      <c r="S30" s="30">
        <f>D30+I30+N30</f>
        <v>0</v>
      </c>
      <c r="T30" s="23"/>
      <c r="BA30" s="64">
        <v>301</v>
      </c>
      <c r="BB30" s="65">
        <f aca="true" t="shared" si="4" ref="BB30:BB59">IF($E$50-BA30+1&gt;0,$E$50-BA30+1,1337)</f>
        <v>1337</v>
      </c>
      <c r="BC30" s="65">
        <f t="shared" si="3"/>
        <v>301</v>
      </c>
      <c r="BD30" s="68">
        <v>3.9</v>
      </c>
      <c r="BH30" s="16"/>
      <c r="BI30" s="16"/>
      <c r="BJ30" s="16"/>
      <c r="BK30" s="16"/>
      <c r="BL30" s="16"/>
    </row>
    <row r="31" spans="1:64" ht="13.5" thickBot="1">
      <c r="A31" s="19" t="s">
        <v>7</v>
      </c>
      <c r="D31" s="30">
        <f>COUNTIF(BB6:BE10,"&lt;5")</f>
        <v>0</v>
      </c>
      <c r="F31" s="19" t="s">
        <v>7</v>
      </c>
      <c r="G31" s="19"/>
      <c r="H31" s="19"/>
      <c r="I31" s="30">
        <f>COUNTIF(BB13:BE17,"&lt;5")</f>
        <v>0</v>
      </c>
      <c r="K31" s="19" t="s">
        <v>7</v>
      </c>
      <c r="L31" s="19"/>
      <c r="M31" s="19"/>
      <c r="N31" s="30">
        <f>COUNTIF(BB20:BE22,"&lt;5")+COUNTIF(BB23:BC23,"&lt;5")+2*COUNTIF(BD23:BD24,"&lt;9")</f>
        <v>0</v>
      </c>
      <c r="P31" s="19" t="s">
        <v>7</v>
      </c>
      <c r="Q31" s="19"/>
      <c r="R31" s="19"/>
      <c r="S31" s="30">
        <f>D31+I31+N31</f>
        <v>0</v>
      </c>
      <c r="T31" s="23"/>
      <c r="BA31" s="66">
        <v>319</v>
      </c>
      <c r="BB31" s="54">
        <f t="shared" si="4"/>
        <v>1337</v>
      </c>
      <c r="BC31" s="54">
        <f t="shared" si="3"/>
        <v>319</v>
      </c>
      <c r="BD31" s="69">
        <v>3.8</v>
      </c>
      <c r="BH31" s="16"/>
      <c r="BI31" s="16"/>
      <c r="BJ31" s="16"/>
      <c r="BK31" s="16"/>
      <c r="BL31" s="16"/>
    </row>
    <row r="32" spans="1:64" ht="13.5" thickBot="1">
      <c r="A32" s="16" t="s">
        <v>65</v>
      </c>
      <c r="D32" s="30">
        <f>SUM(BB6:BE10)</f>
        <v>0</v>
      </c>
      <c r="F32" s="16" t="s">
        <v>65</v>
      </c>
      <c r="I32" s="30">
        <f>SUM(BB13:BE17)</f>
        <v>0</v>
      </c>
      <c r="K32" s="16" t="s">
        <v>65</v>
      </c>
      <c r="N32" s="30">
        <f>SUM(BB20:BE24)</f>
        <v>0</v>
      </c>
      <c r="P32" s="16" t="s">
        <v>65</v>
      </c>
      <c r="S32" s="30">
        <f>D32+I32+N32</f>
        <v>0</v>
      </c>
      <c r="T32" s="23"/>
      <c r="BA32" s="66">
        <v>337</v>
      </c>
      <c r="BB32" s="54">
        <f t="shared" si="4"/>
        <v>1337</v>
      </c>
      <c r="BC32" s="54">
        <f t="shared" si="3"/>
        <v>337</v>
      </c>
      <c r="BD32" s="69">
        <v>3.7</v>
      </c>
      <c r="BH32" s="16"/>
      <c r="BI32" s="16"/>
      <c r="BJ32" s="16"/>
      <c r="BK32" s="16"/>
      <c r="BL32" s="16"/>
    </row>
    <row r="33" spans="1:64" ht="13.5" thickBot="1">
      <c r="A33" s="16" t="s">
        <v>63</v>
      </c>
      <c r="D33" s="31">
        <f>IF(D32&gt;0,ROUND(D32/D30,1),0)</f>
        <v>0</v>
      </c>
      <c r="F33" s="16" t="s">
        <v>63</v>
      </c>
      <c r="I33" s="31">
        <f>IF(I32&gt;0,ROUND(I32/I30,1),0)</f>
        <v>0</v>
      </c>
      <c r="K33" s="16" t="s">
        <v>63</v>
      </c>
      <c r="N33" s="31">
        <f>IF(N32&gt;0,ROUND(N32/N30,1),0)</f>
        <v>0</v>
      </c>
      <c r="P33" s="16" t="s">
        <v>63</v>
      </c>
      <c r="S33" s="31">
        <f>IF(S32&gt;0,ROUND(S32/S30,1),0)</f>
        <v>0</v>
      </c>
      <c r="T33" s="70"/>
      <c r="BA33" s="66">
        <v>355</v>
      </c>
      <c r="BB33" s="54">
        <f t="shared" si="4"/>
        <v>1337</v>
      </c>
      <c r="BC33" s="54">
        <f t="shared" si="3"/>
        <v>355</v>
      </c>
      <c r="BD33" s="69">
        <v>3.6</v>
      </c>
      <c r="BH33" s="16"/>
      <c r="BI33" s="16"/>
      <c r="BJ33" s="16"/>
      <c r="BK33" s="16"/>
      <c r="BL33" s="16"/>
    </row>
    <row r="34" spans="1:64" ht="13.5" thickBot="1">
      <c r="A34" s="72" t="s">
        <v>30</v>
      </c>
      <c r="D34" s="73">
        <f>IF(D33&gt;0,ROUND((17-D32/D30)/3,2),0)</f>
        <v>0</v>
      </c>
      <c r="F34" s="72" t="s">
        <v>30</v>
      </c>
      <c r="G34" s="22"/>
      <c r="H34" s="22"/>
      <c r="I34" s="73">
        <f>IF(I33&gt;0,ROUND((17-I32/I30)/3,2),0)</f>
        <v>0</v>
      </c>
      <c r="J34" s="22"/>
      <c r="K34" s="72" t="s">
        <v>30</v>
      </c>
      <c r="L34" s="22"/>
      <c r="M34" s="22"/>
      <c r="N34" s="73">
        <f>IF(N33&gt;0,ROUND((17-N32/N30)/3,2),0)</f>
        <v>0</v>
      </c>
      <c r="O34" s="22"/>
      <c r="P34" s="72" t="s">
        <v>30</v>
      </c>
      <c r="Q34" s="22"/>
      <c r="R34" s="22"/>
      <c r="S34" s="73">
        <f>IF(S33&gt;0,ROUND((17-S32/S30)/3,2),0)</f>
        <v>0</v>
      </c>
      <c r="T34" s="71"/>
      <c r="BA34" s="66">
        <v>373</v>
      </c>
      <c r="BB34" s="54">
        <f t="shared" si="4"/>
        <v>1337</v>
      </c>
      <c r="BC34" s="54">
        <f t="shared" si="3"/>
        <v>373</v>
      </c>
      <c r="BD34" s="69">
        <v>3.5</v>
      </c>
      <c r="BH34" s="16"/>
      <c r="BI34" s="16"/>
      <c r="BJ34" s="16"/>
      <c r="BK34" s="16"/>
      <c r="BL34" s="16"/>
    </row>
    <row r="35" spans="6:64" ht="12.75" customHeight="1">
      <c r="F35" s="28"/>
      <c r="BA35" s="66">
        <v>391</v>
      </c>
      <c r="BB35" s="54">
        <f t="shared" si="4"/>
        <v>1337</v>
      </c>
      <c r="BC35" s="54">
        <f t="shared" si="3"/>
        <v>391</v>
      </c>
      <c r="BD35" s="69">
        <v>3.4</v>
      </c>
      <c r="BH35" s="16"/>
      <c r="BI35" s="16"/>
      <c r="BJ35" s="16"/>
      <c r="BK35" s="16"/>
      <c r="BL35" s="16"/>
    </row>
    <row r="36" spans="12:64" ht="12.75" customHeight="1">
      <c r="L36" s="24"/>
      <c r="BA36" s="66">
        <v>409</v>
      </c>
      <c r="BB36" s="54">
        <f t="shared" si="4"/>
        <v>1337</v>
      </c>
      <c r="BC36" s="54">
        <f t="shared" si="3"/>
        <v>409</v>
      </c>
      <c r="BD36" s="69">
        <v>3.3</v>
      </c>
      <c r="BH36" s="16"/>
      <c r="BI36" s="16"/>
      <c r="BJ36" s="16"/>
      <c r="BK36" s="16"/>
      <c r="BL36" s="16"/>
    </row>
    <row r="37" spans="1:64" ht="15.75">
      <c r="A37" s="87" t="s">
        <v>72</v>
      </c>
      <c r="BA37" s="66">
        <v>427</v>
      </c>
      <c r="BB37" s="54">
        <f t="shared" si="4"/>
        <v>1337</v>
      </c>
      <c r="BC37" s="54">
        <f t="shared" si="3"/>
        <v>427</v>
      </c>
      <c r="BD37" s="69">
        <v>3.2</v>
      </c>
      <c r="BH37" s="16"/>
      <c r="BI37" s="16"/>
      <c r="BJ37" s="16"/>
      <c r="BK37" s="16"/>
      <c r="BL37" s="16"/>
    </row>
    <row r="38" spans="53:64" ht="12.75">
      <c r="BA38" s="66">
        <v>445</v>
      </c>
      <c r="BB38" s="54">
        <f t="shared" si="4"/>
        <v>1337</v>
      </c>
      <c r="BC38" s="54">
        <f t="shared" si="3"/>
        <v>445</v>
      </c>
      <c r="BD38" s="69">
        <v>3.1</v>
      </c>
      <c r="BH38" s="16"/>
      <c r="BI38" s="16"/>
      <c r="BJ38" s="16"/>
      <c r="BK38" s="16"/>
      <c r="BL38" s="16"/>
    </row>
    <row r="39" spans="1:64" ht="15.75" thickBot="1">
      <c r="A39" s="20" t="s">
        <v>29</v>
      </c>
      <c r="H39" s="20" t="s">
        <v>70</v>
      </c>
      <c r="BA39" s="62">
        <v>463</v>
      </c>
      <c r="BB39" s="63">
        <f t="shared" si="4"/>
        <v>1337</v>
      </c>
      <c r="BC39" s="63">
        <f t="shared" si="3"/>
        <v>463</v>
      </c>
      <c r="BD39" s="67">
        <v>3</v>
      </c>
      <c r="BH39" s="16"/>
      <c r="BI39" s="16"/>
      <c r="BJ39" s="16"/>
      <c r="BK39" s="16"/>
      <c r="BL39" s="16"/>
    </row>
    <row r="40" spans="1:64" ht="12.75" customHeight="1" thickBot="1">
      <c r="A40" s="29" t="str">
        <f>A6</f>
        <v>MATHEMATIK</v>
      </c>
      <c r="F40" s="44"/>
      <c r="G40" s="79" t="s">
        <v>92</v>
      </c>
      <c r="H40" s="24" t="s">
        <v>74</v>
      </c>
      <c r="I40" s="24"/>
      <c r="J40" s="24"/>
      <c r="K40" s="24"/>
      <c r="L40" s="24"/>
      <c r="M40" s="24"/>
      <c r="N40" s="24"/>
      <c r="O40" s="24"/>
      <c r="P40" s="24"/>
      <c r="Q40" s="30" t="str">
        <f>IF(S31&lt;=8,"ja","NEIN!")</f>
        <v>ja</v>
      </c>
      <c r="R40" s="24"/>
      <c r="S40" s="24"/>
      <c r="T40" s="24"/>
      <c r="BA40" s="64">
        <v>481</v>
      </c>
      <c r="BB40" s="65">
        <f t="shared" si="4"/>
        <v>1337</v>
      </c>
      <c r="BC40" s="65">
        <f t="shared" si="3"/>
        <v>481</v>
      </c>
      <c r="BD40" s="68">
        <v>2.9</v>
      </c>
      <c r="BF40" s="16">
        <f>F40</f>
        <v>0</v>
      </c>
      <c r="BG40" s="16">
        <f>F40</f>
        <v>0</v>
      </c>
      <c r="BH40" s="16"/>
      <c r="BI40" s="16"/>
      <c r="BJ40" s="16"/>
      <c r="BK40" s="16"/>
      <c r="BL40" s="16"/>
    </row>
    <row r="41" spans="1:64" ht="12.75" customHeight="1" thickBot="1">
      <c r="A41" s="29" t="str">
        <f>A7</f>
        <v>DEUTSCH</v>
      </c>
      <c r="F41" s="44"/>
      <c r="G41" s="79" t="s">
        <v>92</v>
      </c>
      <c r="H41" s="24" t="s">
        <v>153</v>
      </c>
      <c r="I41" s="24"/>
      <c r="J41" s="24"/>
      <c r="K41" s="24"/>
      <c r="L41" s="24"/>
      <c r="M41" s="24"/>
      <c r="N41" s="24"/>
      <c r="O41" s="24"/>
      <c r="P41" s="24"/>
      <c r="Q41" s="30" t="str">
        <f>IF(AND(S32&gt;=200,SUM(BB23:BD24)&gt;=24),"ja","NEIN!")</f>
        <v>NEIN!</v>
      </c>
      <c r="R41" s="24"/>
      <c r="S41" s="24"/>
      <c r="T41" s="24"/>
      <c r="BA41" s="66">
        <v>499</v>
      </c>
      <c r="BB41" s="54">
        <f t="shared" si="4"/>
        <v>1337</v>
      </c>
      <c r="BC41" s="54">
        <f t="shared" si="3"/>
        <v>499</v>
      </c>
      <c r="BD41" s="69">
        <v>2.8</v>
      </c>
      <c r="BF41" s="16">
        <f>F41</f>
        <v>0</v>
      </c>
      <c r="BG41" s="16">
        <f>F41</f>
        <v>0</v>
      </c>
      <c r="BH41" s="16"/>
      <c r="BI41" s="16"/>
      <c r="BJ41" s="16"/>
      <c r="BK41" s="16"/>
      <c r="BL41" s="16"/>
    </row>
    <row r="42" spans="1:64" ht="12.75" customHeight="1" thickBot="1">
      <c r="A42" s="76" t="str">
        <f>IF(VLOOKUP("ABITURFACH 3",BH8:BK22,4,FALSE)&lt;&gt;0,VLOOKUP("ABITURFACH 3",BH8:BK22,4,FALSE),"ABITURFACH 3 (schriftlich)")</f>
        <v>ABITURFACH 3 (schriftlich)</v>
      </c>
      <c r="B42" s="24"/>
      <c r="C42" s="24"/>
      <c r="F42" s="44"/>
      <c r="G42" s="79" t="s">
        <v>92</v>
      </c>
      <c r="H42" s="24" t="s">
        <v>73</v>
      </c>
      <c r="I42" s="24"/>
      <c r="J42" s="24"/>
      <c r="K42" s="24"/>
      <c r="L42" s="24"/>
      <c r="M42" s="24"/>
      <c r="N42" s="24"/>
      <c r="O42" s="24"/>
      <c r="P42" s="24"/>
      <c r="Q42" s="30" t="str">
        <f>IF(SUMIF(BF6:BF22,"&gt;0")&gt;=100,"ja","NEIN!")</f>
        <v>NEIN!</v>
      </c>
      <c r="R42" s="24"/>
      <c r="S42" s="24"/>
      <c r="T42" s="24"/>
      <c r="BA42" s="66">
        <v>517</v>
      </c>
      <c r="BB42" s="54">
        <f t="shared" si="4"/>
        <v>1337</v>
      </c>
      <c r="BC42" s="54">
        <f t="shared" si="3"/>
        <v>517</v>
      </c>
      <c r="BD42" s="69">
        <v>2.7</v>
      </c>
      <c r="BF42" s="16" t="e">
        <f>VLOOKUP(A13,A42:F44,6,FALSE)</f>
        <v>#N/A</v>
      </c>
      <c r="BG42" s="16">
        <f>F42</f>
        <v>0</v>
      </c>
      <c r="BH42" s="16"/>
      <c r="BI42" s="16"/>
      <c r="BJ42" s="16"/>
      <c r="BK42" s="16"/>
      <c r="BL42" s="16"/>
    </row>
    <row r="43" spans="1:64" ht="12.75" customHeight="1" thickBot="1">
      <c r="A43" s="77" t="str">
        <f>IF(VLOOKUP("ABITURFACH 4",BI8:BK22,3,FALSE)&lt;&gt;0,VLOOKUP("ABITURFACH 4",BI8:BK22,3,FALSE),"ABITURFACH 4 (mündlich)")</f>
        <v>ABITURFACH 4 (mündlich)</v>
      </c>
      <c r="B43" s="24"/>
      <c r="C43" s="24"/>
      <c r="D43" s="24"/>
      <c r="F43" s="44"/>
      <c r="G43" s="79" t="s">
        <v>92</v>
      </c>
      <c r="H43" s="24" t="s">
        <v>99</v>
      </c>
      <c r="I43" s="24"/>
      <c r="J43" s="24"/>
      <c r="K43" s="24"/>
      <c r="L43" s="24"/>
      <c r="M43" s="24"/>
      <c r="N43" s="28"/>
      <c r="O43" s="24"/>
      <c r="P43" s="24"/>
      <c r="Q43" s="30" t="str">
        <f>IF(SUM(BB6:BE6)+SUM(BB7:BE7)+SUM(BB13:BE13)&gt;=48,"ja","NEIN!")</f>
        <v>NEIN!</v>
      </c>
      <c r="R43" s="24"/>
      <c r="S43" s="24"/>
      <c r="T43" s="24"/>
      <c r="BA43" s="66">
        <v>535</v>
      </c>
      <c r="BB43" s="54">
        <f t="shared" si="4"/>
        <v>1337</v>
      </c>
      <c r="BC43" s="54">
        <f t="shared" si="3"/>
        <v>535</v>
      </c>
      <c r="BD43" s="69">
        <v>2.6</v>
      </c>
      <c r="BG43" s="16">
        <f>F43</f>
        <v>0</v>
      </c>
      <c r="BH43" s="16"/>
      <c r="BI43" s="16"/>
      <c r="BJ43" s="16"/>
      <c r="BK43" s="16"/>
      <c r="BL43" s="16"/>
    </row>
    <row r="44" spans="1:64" ht="12.75" customHeight="1" thickBot="1">
      <c r="A44" s="19" t="str">
        <f>IF(VLOOKUP("ABITURFACH 5",BJ8:BK22,2,FALSE)&lt;&gt;0,VLOOKUP("ABITURFACH 5",BJ8:BK22,2,FALSE),"ABITURFACH 5 (mündlich)")</f>
        <v>ABITURFACH 5 (mündlich)</v>
      </c>
      <c r="F44" s="44"/>
      <c r="G44" s="79" t="s">
        <v>92</v>
      </c>
      <c r="H44" s="24" t="s">
        <v>71</v>
      </c>
      <c r="I44" s="24"/>
      <c r="J44" s="24"/>
      <c r="K44" s="24"/>
      <c r="L44" s="24"/>
      <c r="M44" s="24"/>
      <c r="N44" s="28"/>
      <c r="O44" s="24"/>
      <c r="P44" s="24"/>
      <c r="Q44" s="30" t="str">
        <f>IF(F45&gt;=100,"ja","NEIN!")</f>
        <v>NEIN!</v>
      </c>
      <c r="R44" s="24"/>
      <c r="S44" s="24"/>
      <c r="T44" s="24"/>
      <c r="BA44" s="66">
        <v>553</v>
      </c>
      <c r="BB44" s="54">
        <f t="shared" si="4"/>
        <v>1337</v>
      </c>
      <c r="BC44" s="54">
        <f t="shared" si="3"/>
        <v>553</v>
      </c>
      <c r="BD44" s="69">
        <v>2.5</v>
      </c>
      <c r="BG44" s="16">
        <f>F44</f>
        <v>0</v>
      </c>
      <c r="BH44" s="16"/>
      <c r="BI44" s="16"/>
      <c r="BJ44" s="16"/>
      <c r="BK44" s="16"/>
      <c r="BL44" s="16"/>
    </row>
    <row r="45" spans="1:64" ht="12.75" customHeight="1" thickBot="1">
      <c r="A45" s="22" t="s">
        <v>66</v>
      </c>
      <c r="F45" s="30">
        <f>4*SUM(F40:F44)</f>
        <v>0</v>
      </c>
      <c r="H45" s="24" t="s">
        <v>152</v>
      </c>
      <c r="I45" s="24"/>
      <c r="J45" s="24"/>
      <c r="K45" s="24"/>
      <c r="L45" s="24"/>
      <c r="M45" s="24"/>
      <c r="N45" s="28"/>
      <c r="O45" s="24"/>
      <c r="P45" s="24"/>
      <c r="Q45" s="30" t="str">
        <f>IF(BK13&lt;&gt;0,IF(AND(LARGE(BG40:BG44,3)&gt;=5,MAX(F40,F41,VLOOKUP(A13,A42:F44,6,FALSE))&gt;=5),"ja","NEIN!"),"NEIN!")</f>
        <v>NEIN!</v>
      </c>
      <c r="R45" s="24"/>
      <c r="S45" s="24"/>
      <c r="T45" s="24"/>
      <c r="BA45" s="66">
        <v>571</v>
      </c>
      <c r="BB45" s="54">
        <f t="shared" si="4"/>
        <v>1337</v>
      </c>
      <c r="BC45" s="54">
        <f t="shared" si="3"/>
        <v>571</v>
      </c>
      <c r="BD45" s="69">
        <v>2.4</v>
      </c>
      <c r="BH45" s="16"/>
      <c r="BI45" s="16"/>
      <c r="BJ45" s="16"/>
      <c r="BK45" s="16"/>
      <c r="BL45" s="16"/>
    </row>
    <row r="46" spans="1:64" ht="12.75" customHeight="1" thickBot="1">
      <c r="A46" s="22" t="s">
        <v>63</v>
      </c>
      <c r="F46" s="31">
        <f>IF(F45&gt;0,ROUND(F45/(4*COUNTA(F40:F44)),1),0)</f>
        <v>0</v>
      </c>
      <c r="H46" s="24" t="s">
        <v>154</v>
      </c>
      <c r="I46" s="24"/>
      <c r="J46" s="24"/>
      <c r="K46" s="24"/>
      <c r="L46" s="24"/>
      <c r="M46" s="24"/>
      <c r="N46" s="28"/>
      <c r="O46" s="24"/>
      <c r="P46" s="24"/>
      <c r="Q46" s="30" t="str">
        <f>IF(Q45="ja",IF(MEDIAN(BF40:BF42)&gt;=4,"ja","NEIN!"),"NEIN!")</f>
        <v>NEIN!</v>
      </c>
      <c r="R46" s="24"/>
      <c r="S46" s="24"/>
      <c r="T46" s="24"/>
      <c r="BA46" s="66">
        <v>589</v>
      </c>
      <c r="BB46" s="54">
        <f t="shared" si="4"/>
        <v>1337</v>
      </c>
      <c r="BC46" s="54">
        <f t="shared" si="3"/>
        <v>589</v>
      </c>
      <c r="BD46" s="69">
        <v>2.3</v>
      </c>
      <c r="BH46" s="16"/>
      <c r="BI46" s="16"/>
      <c r="BJ46" s="16"/>
      <c r="BK46" s="16"/>
      <c r="BL46" s="16"/>
    </row>
    <row r="47" spans="1:64" ht="12.75" customHeight="1" thickBot="1">
      <c r="A47" s="72" t="s">
        <v>30</v>
      </c>
      <c r="F47" s="73">
        <f>IF(F45&gt;0,ROUND((17-F45/(4*COUNTA(F40:F44)))/3,2),0)</f>
        <v>0</v>
      </c>
      <c r="H47" s="24" t="s">
        <v>155</v>
      </c>
      <c r="I47" s="24"/>
      <c r="J47" s="24"/>
      <c r="K47" s="24"/>
      <c r="L47" s="24"/>
      <c r="M47" s="24"/>
      <c r="N47" s="28"/>
      <c r="O47" s="24"/>
      <c r="P47" s="24"/>
      <c r="Q47" s="30" t="str">
        <f>IF(AND(COUNTA(F40:F44)=5,COUNTIF(F40:F44,"=0")+COUNTIF(BH23:BI23,"=0")+COUNTIF(BJ23:BJ24,"&lt;2")=0),"ja","NEIN!")</f>
        <v>NEIN!</v>
      </c>
      <c r="R47" s="24"/>
      <c r="S47" s="24"/>
      <c r="T47" s="24"/>
      <c r="BA47" s="66">
        <v>607</v>
      </c>
      <c r="BB47" s="54">
        <f t="shared" si="4"/>
        <v>1337</v>
      </c>
      <c r="BC47" s="54">
        <f t="shared" si="3"/>
        <v>607</v>
      </c>
      <c r="BD47" s="69">
        <v>2.2</v>
      </c>
      <c r="BH47" s="16"/>
      <c r="BI47" s="16"/>
      <c r="BJ47" s="16"/>
      <c r="BK47" s="16"/>
      <c r="BL47" s="16"/>
    </row>
    <row r="48" spans="8:64" ht="12.75" customHeight="1"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BA48" s="66">
        <v>625</v>
      </c>
      <c r="BB48" s="54">
        <f t="shared" si="4"/>
        <v>1337</v>
      </c>
      <c r="BC48" s="54">
        <f t="shared" si="3"/>
        <v>625</v>
      </c>
      <c r="BD48" s="69">
        <v>2.1</v>
      </c>
      <c r="BH48" s="16"/>
      <c r="BI48" s="16"/>
      <c r="BJ48" s="16"/>
      <c r="BK48" s="16"/>
      <c r="BL48" s="16"/>
    </row>
    <row r="49" spans="1:64" ht="15.75" customHeight="1" thickBot="1">
      <c r="A49" s="20" t="s">
        <v>31</v>
      </c>
      <c r="H49" s="20" t="s">
        <v>156</v>
      </c>
      <c r="BA49" s="62">
        <v>643</v>
      </c>
      <c r="BB49" s="63">
        <f t="shared" si="4"/>
        <v>1337</v>
      </c>
      <c r="BC49" s="63">
        <f t="shared" si="3"/>
        <v>643</v>
      </c>
      <c r="BD49" s="67">
        <v>2</v>
      </c>
      <c r="BH49" s="16"/>
      <c r="BI49" s="16"/>
      <c r="BJ49" s="16"/>
      <c r="BK49" s="16"/>
      <c r="BL49" s="16"/>
    </row>
    <row r="50" spans="1:64" ht="13.5" customHeight="1" thickBot="1">
      <c r="A50" s="117" t="s">
        <v>32</v>
      </c>
      <c r="B50" s="118"/>
      <c r="C50" s="118"/>
      <c r="D50" s="118"/>
      <c r="E50" s="109">
        <f>S32+F45</f>
        <v>0</v>
      </c>
      <c r="F50" s="110"/>
      <c r="G50" s="37"/>
      <c r="H50" s="108" t="s">
        <v>8</v>
      </c>
      <c r="I50" s="108"/>
      <c r="J50" s="108"/>
      <c r="K50" s="108"/>
      <c r="L50" s="108"/>
      <c r="M50" s="130" t="str">
        <f>IF(COUNTIF(Q40:Q47,"ja")=8,"JA!","NEIN!")</f>
        <v>NEIN!</v>
      </c>
      <c r="N50" s="131"/>
      <c r="BA50" s="64">
        <v>661</v>
      </c>
      <c r="BB50" s="65">
        <f t="shared" si="4"/>
        <v>1337</v>
      </c>
      <c r="BC50" s="65">
        <f t="shared" si="3"/>
        <v>661</v>
      </c>
      <c r="BD50" s="68">
        <v>1.9</v>
      </c>
      <c r="BH50" s="16"/>
      <c r="BI50" s="16"/>
      <c r="BJ50" s="16"/>
      <c r="BK50" s="16"/>
      <c r="BL50" s="16"/>
    </row>
    <row r="51" spans="1:64" ht="13.5" customHeight="1" thickBot="1">
      <c r="A51" s="119"/>
      <c r="B51" s="120"/>
      <c r="C51" s="120"/>
      <c r="D51" s="120"/>
      <c r="E51" s="110"/>
      <c r="F51" s="110"/>
      <c r="G51" s="37"/>
      <c r="H51" s="108"/>
      <c r="I51" s="108"/>
      <c r="J51" s="108"/>
      <c r="K51" s="108"/>
      <c r="L51" s="108"/>
      <c r="M51" s="132"/>
      <c r="N51" s="133"/>
      <c r="BA51" s="66">
        <v>679</v>
      </c>
      <c r="BB51" s="54">
        <f t="shared" si="4"/>
        <v>1337</v>
      </c>
      <c r="BC51" s="54">
        <f t="shared" si="3"/>
        <v>679</v>
      </c>
      <c r="BD51" s="69">
        <v>1.8</v>
      </c>
      <c r="BH51" s="16"/>
      <c r="BI51" s="16"/>
      <c r="BJ51" s="16"/>
      <c r="BK51" s="16"/>
      <c r="BL51" s="16"/>
    </row>
    <row r="52" spans="1:64" ht="13.5" customHeight="1" thickBot="1">
      <c r="A52" s="121" t="s">
        <v>69</v>
      </c>
      <c r="B52" s="92"/>
      <c r="C52" s="92"/>
      <c r="D52" s="92"/>
      <c r="E52" s="111" t="str">
        <f>IF(COUNTA(F40:F44)&gt;0,IF(ROUNDDOWN(1/3*(17-E50/(40+4*COUNTA(F40:F44))),1)&gt;4,"---",ROUNDDOWN(1/3*(17-E50/(40+4*COUNTA(F40:F44))),1)),"---")</f>
        <v>---</v>
      </c>
      <c r="F52" s="111"/>
      <c r="G52" s="38"/>
      <c r="H52" s="124" t="str">
        <f>IF(M50="NEIN!","Woran es scheitert? Siehe oben",IF(E52&gt;=2,"Glückwunsch zum Abitur!","Glückwunsch zum 1er-Abitur!"))</f>
        <v>Woran es scheitert? Siehe oben</v>
      </c>
      <c r="I52" s="125"/>
      <c r="J52" s="125"/>
      <c r="K52" s="125"/>
      <c r="L52" s="125"/>
      <c r="M52" s="125"/>
      <c r="N52" s="126"/>
      <c r="BA52" s="66">
        <v>697</v>
      </c>
      <c r="BB52" s="54">
        <f t="shared" si="4"/>
        <v>1337</v>
      </c>
      <c r="BC52" s="54">
        <f t="shared" si="3"/>
        <v>697</v>
      </c>
      <c r="BD52" s="69">
        <v>1.7</v>
      </c>
      <c r="BH52" s="16"/>
      <c r="BI52" s="16"/>
      <c r="BJ52" s="16"/>
      <c r="BK52" s="16"/>
      <c r="BL52" s="16"/>
    </row>
    <row r="53" spans="1:64" ht="15" customHeight="1" thickBot="1">
      <c r="A53" s="122"/>
      <c r="B53" s="123"/>
      <c r="C53" s="123"/>
      <c r="D53" s="123"/>
      <c r="E53" s="111"/>
      <c r="F53" s="111"/>
      <c r="G53" s="38"/>
      <c r="H53" s="127"/>
      <c r="I53" s="128"/>
      <c r="J53" s="128"/>
      <c r="K53" s="128"/>
      <c r="L53" s="128"/>
      <c r="M53" s="128"/>
      <c r="N53" s="129"/>
      <c r="BA53" s="66">
        <v>715</v>
      </c>
      <c r="BB53" s="54">
        <f t="shared" si="4"/>
        <v>1337</v>
      </c>
      <c r="BC53" s="54">
        <f t="shared" si="3"/>
        <v>715</v>
      </c>
      <c r="BD53" s="69">
        <v>1.6</v>
      </c>
      <c r="BH53" s="16"/>
      <c r="BI53" s="16"/>
      <c r="BJ53" s="16"/>
      <c r="BK53" s="16"/>
      <c r="BL53" s="16"/>
    </row>
    <row r="54" spans="1:64" ht="12.75" customHeight="1">
      <c r="A54" s="32"/>
      <c r="B54" s="32"/>
      <c r="C54" s="32"/>
      <c r="D54" s="32"/>
      <c r="E54" s="32"/>
      <c r="F54" s="33"/>
      <c r="G54" s="33"/>
      <c r="BA54" s="66">
        <v>733</v>
      </c>
      <c r="BB54" s="54">
        <f t="shared" si="4"/>
        <v>1337</v>
      </c>
      <c r="BC54" s="54">
        <f t="shared" si="3"/>
        <v>733</v>
      </c>
      <c r="BD54" s="69">
        <v>1.5</v>
      </c>
      <c r="BH54" s="16"/>
      <c r="BI54" s="16"/>
      <c r="BJ54" s="16"/>
      <c r="BK54" s="16"/>
      <c r="BL54" s="16"/>
    </row>
    <row r="55" spans="1:64" ht="15.75" customHeight="1">
      <c r="A55" s="20" t="s">
        <v>118</v>
      </c>
      <c r="BA55" s="66">
        <v>751</v>
      </c>
      <c r="BB55" s="54">
        <f t="shared" si="4"/>
        <v>1337</v>
      </c>
      <c r="BC55" s="54">
        <f t="shared" si="3"/>
        <v>751</v>
      </c>
      <c r="BD55" s="69">
        <v>1.4</v>
      </c>
      <c r="BH55" s="16"/>
      <c r="BI55" s="16"/>
      <c r="BJ55" s="16"/>
      <c r="BK55" s="16"/>
      <c r="BL55" s="16"/>
    </row>
    <row r="56" spans="1:64" ht="13.5" customHeight="1" thickBot="1">
      <c r="A56" s="80" t="str">
        <f>IF(COUNTA(F40:F44)&lt;5,"Der Abstand zur nächstschlechteren bzw. -besseren Durchschnittsnote kann noch nicht berechnet werden.",IF(E50=300,"Der Abstand zur Durchschnittsnote 3,9 beträgt einen Punkt.",IF(E50&gt;=823,"Der Abstand zur Durchschnittsnote 1,1 beträgt "&amp;IF(BB60=1,"einen Punkt.",BB60&amp;" Punkte."),IF(E50&gt;300,"Der Abstand zur Durchschnittsnote "&amp;IF(E52+0.1=2,"2,0",IF(E52+0.1=3,"3,0",IF(E52+0.1=4,"4,0",E52+0.1)))&amp;" beträgt "&amp;IF(BB60=1,"einen Punkt",BB60&amp;" Punkte")&amp;" und zu "&amp;IF(E52-0.1=1,"1,0",IF(E52-0.1=2,"2,0",IF(E52-0.1=3,"3,0",E52-0.1)))&amp;" beträgt er "&amp;IF(BC60=1,"einen Punkt.",BC60&amp;" Punkte."),"Der Abstand zur Durchschnittsnote 4,0 beträgt "&amp;IF(BC60=1,"einen Punkt.",BC60&amp;" Punkte.")))))</f>
        <v>Der Abstand zur nächstschlechteren bzw. -besseren Durchschnittsnote kann noch nicht berechnet werden.</v>
      </c>
      <c r="BA56" s="66">
        <v>769</v>
      </c>
      <c r="BB56" s="54">
        <f t="shared" si="4"/>
        <v>1337</v>
      </c>
      <c r="BC56" s="54">
        <f t="shared" si="3"/>
        <v>769</v>
      </c>
      <c r="BD56" s="69">
        <v>1.3</v>
      </c>
      <c r="BH56" s="16"/>
      <c r="BI56" s="16"/>
      <c r="BJ56" s="16"/>
      <c r="BK56" s="16"/>
      <c r="BL56" s="16"/>
    </row>
    <row r="57" spans="1:64" ht="12.75" customHeight="1" thickBot="1">
      <c r="A57" s="16" t="s">
        <v>4</v>
      </c>
      <c r="F57" s="27" t="str">
        <f>IF(COUNTA($F$40:$F$42)=3,MIN($F$40:$F$42),"---")</f>
        <v>---</v>
      </c>
      <c r="G57" s="82" t="s">
        <v>3</v>
      </c>
      <c r="H57" s="112" t="s">
        <v>103</v>
      </c>
      <c r="I57" s="113"/>
      <c r="J57" s="113"/>
      <c r="K57" s="114"/>
      <c r="L57" s="35" t="str">
        <f>IF(F57&lt;&gt;"---",IF(ROUNDUP((3/4)*$BC$60+F57,0)&gt;15,"unmgl",ROUNDUP((3/4)*$BC$60+F57,0)),"---")</f>
        <v>---</v>
      </c>
      <c r="BA57" s="66">
        <v>787</v>
      </c>
      <c r="BB57" s="54">
        <f t="shared" si="4"/>
        <v>1337</v>
      </c>
      <c r="BC57" s="54">
        <f t="shared" si="3"/>
        <v>787</v>
      </c>
      <c r="BD57" s="69">
        <v>1.2</v>
      </c>
      <c r="BH57" s="16"/>
      <c r="BI57" s="16"/>
      <c r="BJ57" s="16"/>
      <c r="BK57" s="16"/>
      <c r="BL57" s="16"/>
    </row>
    <row r="58" spans="1:64" ht="12.75" customHeight="1" thickBot="1">
      <c r="A58" s="16" t="s">
        <v>5</v>
      </c>
      <c r="F58" s="27" t="str">
        <f>IF(COUNTA($F$40:$F$42)=3,MEDIAN($F$40:$F$42),"---")</f>
        <v>---</v>
      </c>
      <c r="G58" s="82" t="s">
        <v>3</v>
      </c>
      <c r="H58" s="112" t="s">
        <v>102</v>
      </c>
      <c r="I58" s="115"/>
      <c r="J58" s="115"/>
      <c r="K58" s="116"/>
      <c r="L58" s="35" t="str">
        <f>IF(F58&lt;&gt;"---",IF(ROUNDUP((3/4)*$BC$60+F58,0)&gt;15,"unmgl",ROUNDUP((3/4)*$BC$60+F58,0)),"---")</f>
        <v>---</v>
      </c>
      <c r="BA58" s="66">
        <v>805</v>
      </c>
      <c r="BB58" s="54">
        <f t="shared" si="4"/>
        <v>1337</v>
      </c>
      <c r="BC58" s="54">
        <f t="shared" si="3"/>
        <v>805</v>
      </c>
      <c r="BD58" s="69">
        <v>1.1</v>
      </c>
      <c r="BH58" s="16"/>
      <c r="BI58" s="16"/>
      <c r="BJ58" s="16"/>
      <c r="BK58" s="16"/>
      <c r="BL58" s="16"/>
    </row>
    <row r="59" spans="1:64" ht="12.75" customHeight="1" thickBot="1">
      <c r="A59" s="16" t="s">
        <v>6</v>
      </c>
      <c r="F59" s="27" t="str">
        <f>IF(COUNTA($F$40:$F$42)=3,MAX($F$40:$F$42),"---")</f>
        <v>---</v>
      </c>
      <c r="G59" s="82" t="s">
        <v>3</v>
      </c>
      <c r="H59" s="112" t="s">
        <v>104</v>
      </c>
      <c r="I59" s="113"/>
      <c r="J59" s="113"/>
      <c r="K59" s="81" t="str">
        <f>IF(E52&lt;&gt;"---",IF(E52-0.1&gt;=4,"4,0",E52-0.1),"---")</f>
        <v>---</v>
      </c>
      <c r="L59" s="27" t="str">
        <f>IF(F59&lt;&gt;"---",IF(ROUNDUP((3/4)*$BC$60+F59,0)&gt;15,"unmgl",ROUNDUP((3/4)*$BC$60+F59,0)),"---")</f>
        <v>---</v>
      </c>
      <c r="BA59" s="66">
        <v>823</v>
      </c>
      <c r="BB59" s="54">
        <f t="shared" si="4"/>
        <v>1337</v>
      </c>
      <c r="BC59" s="54">
        <f t="shared" si="3"/>
        <v>823</v>
      </c>
      <c r="BD59" s="69">
        <v>1</v>
      </c>
      <c r="BH59" s="16"/>
      <c r="BI59" s="16"/>
      <c r="BJ59" s="16"/>
      <c r="BK59" s="16"/>
      <c r="BL59" s="16"/>
    </row>
    <row r="60" spans="53:64" ht="12.75" customHeight="1">
      <c r="BA60" s="54">
        <v>0</v>
      </c>
      <c r="BB60" s="66" t="str">
        <f>IF(MIN(BB29:BB59)&lt;&gt;1337,MIN(BB29:BB59),"unmgl.")</f>
        <v>unmgl.</v>
      </c>
      <c r="BC60" s="66">
        <f>IF(MIN(BC29:BC59)&lt;&gt;1337,MIN(BC29:BC59),"unmgl.")</f>
        <v>300</v>
      </c>
      <c r="BD60" s="54">
        <v>0</v>
      </c>
      <c r="BH60" s="16"/>
      <c r="BI60" s="16"/>
      <c r="BJ60" s="16"/>
      <c r="BK60" s="16"/>
      <c r="BL60" s="16"/>
    </row>
    <row r="61" spans="60:64" ht="12.75">
      <c r="BH61" s="16"/>
      <c r="BI61" s="16"/>
      <c r="BJ61" s="16"/>
      <c r="BK61" s="16"/>
      <c r="BL61" s="16"/>
    </row>
    <row r="63" spans="20:64" ht="12.75" customHeight="1">
      <c r="T63" s="53"/>
      <c r="BH63" s="16"/>
      <c r="BI63" s="16"/>
      <c r="BJ63" s="16"/>
      <c r="BK63" s="16"/>
      <c r="BL63" s="16"/>
    </row>
    <row r="64" spans="20:64" ht="12.75" customHeight="1">
      <c r="T64" s="53"/>
      <c r="BH64" s="16"/>
      <c r="BI64" s="16"/>
      <c r="BJ64" s="16"/>
      <c r="BK64" s="16"/>
      <c r="BL64" s="16"/>
    </row>
    <row r="65" spans="20:64" ht="12.75" customHeight="1">
      <c r="T65" s="53"/>
      <c r="BH65" s="16"/>
      <c r="BI65" s="16"/>
      <c r="BJ65" s="16"/>
      <c r="BK65" s="16"/>
      <c r="BL65" s="16"/>
    </row>
    <row r="66" spans="7:13" ht="15.75">
      <c r="G66" s="25"/>
      <c r="H66" s="34"/>
      <c r="I66" s="19"/>
      <c r="K66" s="36"/>
      <c r="M66" s="25"/>
    </row>
  </sheetData>
  <sheetProtection password="D6F5" sheet="1"/>
  <mergeCells count="45">
    <mergeCell ref="H57:K57"/>
    <mergeCell ref="H58:K58"/>
    <mergeCell ref="H59:J59"/>
    <mergeCell ref="A21:D21"/>
    <mergeCell ref="A22:D22"/>
    <mergeCell ref="A50:D51"/>
    <mergeCell ref="A52:D53"/>
    <mergeCell ref="A23:D23"/>
    <mergeCell ref="H52:N53"/>
    <mergeCell ref="M50:N51"/>
    <mergeCell ref="A9:D9"/>
    <mergeCell ref="O7:P7"/>
    <mergeCell ref="O8:P8"/>
    <mergeCell ref="O9:P9"/>
    <mergeCell ref="O15:P15"/>
    <mergeCell ref="O10:P10"/>
    <mergeCell ref="A15:D15"/>
    <mergeCell ref="A16:D16"/>
    <mergeCell ref="A13:D13"/>
    <mergeCell ref="A14:D14"/>
    <mergeCell ref="A10:D10"/>
    <mergeCell ref="O13:P13"/>
    <mergeCell ref="O14:P14"/>
    <mergeCell ref="H50:L51"/>
    <mergeCell ref="E50:F51"/>
    <mergeCell ref="E52:F53"/>
    <mergeCell ref="A24:D24"/>
    <mergeCell ref="A17:D17"/>
    <mergeCell ref="A20:D20"/>
    <mergeCell ref="O23:P23"/>
    <mergeCell ref="O24:P24"/>
    <mergeCell ref="O21:P21"/>
    <mergeCell ref="O20:P20"/>
    <mergeCell ref="O22:P22"/>
    <mergeCell ref="O19:P19"/>
    <mergeCell ref="A1:E1"/>
    <mergeCell ref="G1:K1"/>
    <mergeCell ref="O16:P16"/>
    <mergeCell ref="O17:P17"/>
    <mergeCell ref="O5:P5"/>
    <mergeCell ref="O12:P12"/>
    <mergeCell ref="O6:P6"/>
    <mergeCell ref="A6:D6"/>
    <mergeCell ref="A7:D7"/>
    <mergeCell ref="A8:D8"/>
  </mergeCells>
  <conditionalFormatting sqref="S31:T31">
    <cfRule type="cellIs" priority="4" dxfId="6" operator="greaterThan" stopIfTrue="1">
      <formula>8</formula>
    </cfRule>
  </conditionalFormatting>
  <conditionalFormatting sqref="N31 I31 D31">
    <cfRule type="cellIs" priority="7" dxfId="6" operator="greaterThan" stopIfTrue="1">
      <formula>6</formula>
    </cfRule>
  </conditionalFormatting>
  <conditionalFormatting sqref="T30">
    <cfRule type="cellIs" priority="8" dxfId="5" operator="equal" stopIfTrue="1">
      <formula>40</formula>
    </cfRule>
    <cfRule type="cellIs" priority="9" dxfId="0" operator="greaterThan" stopIfTrue="1">
      <formula>40</formula>
    </cfRule>
  </conditionalFormatting>
  <conditionalFormatting sqref="J24:K24 M23:M24">
    <cfRule type="cellIs" priority="11" dxfId="2" operator="equal" stopIfTrue="1">
      <formula>"ja"</formula>
    </cfRule>
    <cfRule type="cellIs" priority="12" dxfId="1" operator="equal" stopIfTrue="1">
      <formula>"nein"</formula>
    </cfRule>
  </conditionalFormatting>
  <conditionalFormatting sqref="M50:N51">
    <cfRule type="cellIs" priority="19" dxfId="14" operator="notEqual" stopIfTrue="1">
      <formula>"NEIN!"</formula>
    </cfRule>
    <cfRule type="cellIs" priority="20" dxfId="6" operator="equal" stopIfTrue="1">
      <formula>"NEIN!"</formula>
    </cfRule>
  </conditionalFormatting>
  <conditionalFormatting sqref="Q40:Q47">
    <cfRule type="cellIs" priority="21" dxfId="14" operator="equal" stopIfTrue="1">
      <formula>"ja"</formula>
    </cfRule>
    <cfRule type="cellIs" priority="22" dxfId="6" operator="equal" stopIfTrue="1">
      <formula>"NEIN!"</formula>
    </cfRule>
  </conditionalFormatting>
  <conditionalFormatting sqref="E6:H10 E13:H17 E20:H22 E23:F23">
    <cfRule type="cellIs" priority="23" dxfId="6" operator="between" stopIfTrue="1">
      <formula>1</formula>
      <formula>4</formula>
    </cfRule>
  </conditionalFormatting>
  <conditionalFormatting sqref="G23:G24">
    <cfRule type="cellIs" priority="24" dxfId="6" operator="between" stopIfTrue="1">
      <formula>1</formula>
      <formula>8</formula>
    </cfRule>
  </conditionalFormatting>
  <conditionalFormatting sqref="S30">
    <cfRule type="cellIs" priority="25" dxfId="14" operator="equal" stopIfTrue="1">
      <formula>40</formula>
    </cfRule>
    <cfRule type="cellIs" priority="26" dxfId="6" operator="greaterThan" stopIfTrue="1">
      <formula>40</formula>
    </cfRule>
  </conditionalFormatting>
  <conditionalFormatting sqref="J20:M22 J23:L23 L24 J13:M17 J6:M10">
    <cfRule type="cellIs" priority="27" dxfId="14" operator="equal" stopIfTrue="1">
      <formula>"ja"</formula>
    </cfRule>
    <cfRule type="cellIs" priority="28" dxfId="6" operator="equal" stopIfTrue="1">
      <formula>"nein"</formula>
    </cfRule>
    <cfRule type="cellIs" priority="29" dxfId="12" operator="equal" stopIfTrue="1">
      <formula>""</formula>
    </cfRule>
  </conditionalFormatting>
  <dataValidations count="16">
    <dataValidation type="whole" allowBlank="1" showInputMessage="1" showErrorMessage="1" sqref="F43:F44">
      <formula1>0</formula1>
      <formula2>60</formula2>
    </dataValidation>
    <dataValidation showInputMessage="1" showErrorMessage="1" sqref="O6:P7 L23:L24 J23:K23 J13:M13 J6:M7"/>
    <dataValidation type="whole" allowBlank="1" showInputMessage="1" showErrorMessage="1" errorTitle="ungültige Dateneingabe" error="Geben Sie an dieser Stelle eine Zahl zwischen 0 und 15 ein!" sqref="E23:F23 E20:H22 E13:H17 E6:H10">
      <formula1>0</formula1>
      <formula2>15</formula2>
    </dataValidation>
    <dataValidation type="whole" allowBlank="1" showInputMessage="1" showErrorMessage="1" errorTitle="ungültige Dateneingabe" error="Geben Sie an dieser Stelle eine Zahl zwischen 0 und 30 ein!" sqref="G23:G24">
      <formula1>0</formula1>
      <formula2>30</formula2>
    </dataValidation>
    <dataValidation type="list" showInputMessage="1" showErrorMessage="1" sqref="O20:P22 O14:P17 O8:P10">
      <formula1>$BB$4:$BD$4</formula1>
    </dataValidation>
    <dataValidation type="list" showInputMessage="1" showErrorMessage="1" sqref="J20:M22 J14:M17 J8:M10">
      <formula1>$BG$4:$BI$4</formula1>
    </dataValidation>
    <dataValidation type="list" showInputMessage="1" showErrorMessage="1" sqref="A14:D14">
      <formula1>$BH$18:$BK$18</formula1>
    </dataValidation>
    <dataValidation type="list" showInputMessage="1" showErrorMessage="1" sqref="A16:D16">
      <formula1>$BU$18:$BW$18</formula1>
    </dataValidation>
    <dataValidation type="list" showInputMessage="1" showErrorMessage="1" sqref="A17:D17">
      <formula1>$BX$18:$BZ$18</formula1>
    </dataValidation>
    <dataValidation type="list" showInputMessage="1" showErrorMessage="1" sqref="A9:D9">
      <formula1>$BD$11:$BE$11</formula1>
    </dataValidation>
    <dataValidation type="list" showInputMessage="1" showErrorMessage="1" sqref="A15:D15">
      <formula1>$BH$18:$BT$18</formula1>
    </dataValidation>
    <dataValidation type="list" showInputMessage="1" showErrorMessage="1" sqref="A13:D13">
      <formula1>$AZ$18:$BG$18</formula1>
    </dataValidation>
    <dataValidation type="whole" allowBlank="1" showInputMessage="1" showErrorMessage="1" sqref="F40:F42">
      <formula1>0</formula1>
      <formula2>15</formula2>
    </dataValidation>
    <dataValidation type="list" showInputMessage="1" showErrorMessage="1" sqref="O13:P13">
      <formula1>$BC$4:$BD$4</formula1>
    </dataValidation>
    <dataValidation type="list" allowBlank="1" showInputMessage="1" showErrorMessage="1" sqref="A8:D8">
      <formula1>$BA$11:$BB$11</formula1>
    </dataValidation>
    <dataValidation type="list" showInputMessage="1" showErrorMessage="1" sqref="A20:D22">
      <formula1>$AZ$26:$CD$26</formula1>
    </dataValidation>
  </dataValidations>
  <hyperlinks>
    <hyperlink ref="A1" location="Informationen!D25" display="Link zu den Informationen"/>
    <hyperlink ref="G1:K1" location="Beispiel!E6" tooltip="Link zum Beispiel" display="Link zum Beispiel"/>
    <hyperlink ref="A1:E1" location="Informationen!D27" tooltip="Link zu den Informationen" display="Link zu den Informationen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83" r:id="rId3"/>
  <colBreaks count="1" manualBreakCount="1">
    <brk id="1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9" width="5.8515625" style="16" customWidth="1"/>
    <col min="20" max="16384" width="11.421875" style="16" customWidth="1"/>
  </cols>
  <sheetData>
    <row r="1" spans="1:11" s="12" customFormat="1" ht="18" customHeight="1">
      <c r="A1" s="93" t="s">
        <v>34</v>
      </c>
      <c r="B1" s="93"/>
      <c r="C1" s="93"/>
      <c r="D1" s="93"/>
      <c r="E1" s="93"/>
      <c r="F1" s="90"/>
      <c r="G1" s="93" t="s">
        <v>33</v>
      </c>
      <c r="H1" s="93"/>
      <c r="I1" s="93"/>
      <c r="J1" s="93"/>
      <c r="K1" s="93"/>
    </row>
    <row r="3" spans="1:16" ht="15.75">
      <c r="A3" s="87" t="s">
        <v>28</v>
      </c>
      <c r="O3" s="18"/>
      <c r="P3" s="19"/>
    </row>
    <row r="4" ht="12.75" customHeight="1"/>
    <row r="5" spans="1:16" ht="15.75" customHeight="1" thickBot="1">
      <c r="A5" s="20" t="s">
        <v>39</v>
      </c>
      <c r="E5" s="21" t="s">
        <v>80</v>
      </c>
      <c r="F5" s="21" t="s">
        <v>81</v>
      </c>
      <c r="G5" s="21" t="s">
        <v>82</v>
      </c>
      <c r="H5" s="21" t="s">
        <v>83</v>
      </c>
      <c r="J5" s="22" t="s">
        <v>84</v>
      </c>
      <c r="O5" s="100" t="s">
        <v>85</v>
      </c>
      <c r="P5" s="100"/>
    </row>
    <row r="6" spans="1:19" ht="12.75" customHeight="1" thickBot="1">
      <c r="A6" s="103" t="s">
        <v>114</v>
      </c>
      <c r="B6" s="103"/>
      <c r="C6" s="103"/>
      <c r="D6" s="104"/>
      <c r="E6" s="30">
        <v>13</v>
      </c>
      <c r="F6" s="30">
        <v>10</v>
      </c>
      <c r="G6" s="30">
        <v>10</v>
      </c>
      <c r="H6" s="30">
        <v>9</v>
      </c>
      <c r="J6" s="30" t="s">
        <v>37</v>
      </c>
      <c r="K6" s="30" t="s">
        <v>37</v>
      </c>
      <c r="L6" s="30" t="s">
        <v>37</v>
      </c>
      <c r="M6" s="30" t="s">
        <v>37</v>
      </c>
      <c r="O6" s="101" t="s">
        <v>27</v>
      </c>
      <c r="P6" s="102"/>
      <c r="Q6" s="24"/>
      <c r="R6" s="24"/>
      <c r="S6" s="24"/>
    </row>
    <row r="7" spans="1:19" ht="12.75" customHeight="1" thickBot="1">
      <c r="A7" s="103" t="s">
        <v>115</v>
      </c>
      <c r="B7" s="103"/>
      <c r="C7" s="103"/>
      <c r="D7" s="104"/>
      <c r="E7" s="30">
        <v>8</v>
      </c>
      <c r="F7" s="30">
        <v>4</v>
      </c>
      <c r="G7" s="30">
        <v>7</v>
      </c>
      <c r="H7" s="30">
        <v>10</v>
      </c>
      <c r="J7" s="30" t="s">
        <v>37</v>
      </c>
      <c r="K7" s="30" t="s">
        <v>37</v>
      </c>
      <c r="L7" s="30" t="s">
        <v>37</v>
      </c>
      <c r="M7" s="30" t="s">
        <v>37</v>
      </c>
      <c r="O7" s="101" t="s">
        <v>27</v>
      </c>
      <c r="P7" s="102"/>
      <c r="Q7" s="24"/>
      <c r="R7" s="24"/>
      <c r="S7" s="24"/>
    </row>
    <row r="8" spans="1:19" ht="12.75" customHeight="1" thickBot="1">
      <c r="A8" s="103" t="s">
        <v>116</v>
      </c>
      <c r="B8" s="103"/>
      <c r="C8" s="103"/>
      <c r="D8" s="104"/>
      <c r="E8" s="30">
        <v>11</v>
      </c>
      <c r="F8" s="30">
        <v>6</v>
      </c>
      <c r="G8" s="30">
        <v>12</v>
      </c>
      <c r="H8" s="30">
        <v>12</v>
      </c>
      <c r="J8" s="30" t="s">
        <v>37</v>
      </c>
      <c r="K8" s="30" t="s">
        <v>67</v>
      </c>
      <c r="L8" s="30" t="s">
        <v>37</v>
      </c>
      <c r="M8" s="30" t="s">
        <v>37</v>
      </c>
      <c r="O8" s="101"/>
      <c r="P8" s="102"/>
      <c r="Q8" s="24"/>
      <c r="R8" s="24"/>
      <c r="S8" s="24"/>
    </row>
    <row r="9" spans="1:19" ht="12.75" customHeight="1" thickBot="1">
      <c r="A9" s="103" t="s">
        <v>41</v>
      </c>
      <c r="B9" s="103"/>
      <c r="C9" s="103"/>
      <c r="D9" s="104"/>
      <c r="E9" s="30">
        <v>7</v>
      </c>
      <c r="F9" s="30">
        <v>5</v>
      </c>
      <c r="G9" s="30">
        <v>3</v>
      </c>
      <c r="H9" s="30">
        <v>9</v>
      </c>
      <c r="J9" s="30" t="s">
        <v>37</v>
      </c>
      <c r="K9" s="30" t="s">
        <v>37</v>
      </c>
      <c r="L9" s="30" t="s">
        <v>67</v>
      </c>
      <c r="M9" s="30" t="s">
        <v>37</v>
      </c>
      <c r="O9" s="101"/>
      <c r="P9" s="102"/>
      <c r="Q9" s="24"/>
      <c r="R9" s="24"/>
      <c r="S9" s="24"/>
    </row>
    <row r="10" spans="1:19" ht="12.75" customHeight="1" thickBot="1">
      <c r="A10" s="103" t="s">
        <v>117</v>
      </c>
      <c r="B10" s="103"/>
      <c r="C10" s="103"/>
      <c r="D10" s="104"/>
      <c r="E10" s="30">
        <v>9</v>
      </c>
      <c r="F10" s="30">
        <v>8</v>
      </c>
      <c r="G10" s="30">
        <v>13</v>
      </c>
      <c r="H10" s="30">
        <v>12</v>
      </c>
      <c r="J10" s="30" t="s">
        <v>67</v>
      </c>
      <c r="K10" s="30" t="s">
        <v>67</v>
      </c>
      <c r="L10" s="30" t="s">
        <v>37</v>
      </c>
      <c r="M10" s="30" t="s">
        <v>37</v>
      </c>
      <c r="O10" s="101"/>
      <c r="P10" s="102"/>
      <c r="Q10" s="24"/>
      <c r="R10" s="24"/>
      <c r="S10" s="24"/>
    </row>
    <row r="11" ht="12.75" customHeight="1"/>
    <row r="12" spans="1:16" ht="15.75" customHeight="1" thickBot="1">
      <c r="A12" s="20" t="s">
        <v>38</v>
      </c>
      <c r="E12" s="21" t="s">
        <v>80</v>
      </c>
      <c r="F12" s="21" t="s">
        <v>81</v>
      </c>
      <c r="G12" s="21" t="s">
        <v>82</v>
      </c>
      <c r="H12" s="21" t="s">
        <v>83</v>
      </c>
      <c r="J12" s="22" t="s">
        <v>84</v>
      </c>
      <c r="O12" s="100" t="s">
        <v>85</v>
      </c>
      <c r="P12" s="100"/>
    </row>
    <row r="13" spans="1:19" ht="12.75" customHeight="1" thickBot="1">
      <c r="A13" s="103" t="s">
        <v>23</v>
      </c>
      <c r="B13" s="103"/>
      <c r="C13" s="103"/>
      <c r="D13" s="104"/>
      <c r="E13" s="30">
        <v>8</v>
      </c>
      <c r="F13" s="30">
        <v>4</v>
      </c>
      <c r="G13" s="30">
        <v>9</v>
      </c>
      <c r="H13" s="30">
        <v>10</v>
      </c>
      <c r="J13" s="30" t="s">
        <v>37</v>
      </c>
      <c r="K13" s="30" t="s">
        <v>37</v>
      </c>
      <c r="L13" s="30" t="s">
        <v>37</v>
      </c>
      <c r="M13" s="30" t="s">
        <v>37</v>
      </c>
      <c r="O13" s="101" t="s">
        <v>58</v>
      </c>
      <c r="P13" s="102"/>
      <c r="Q13" s="24"/>
      <c r="R13" s="24"/>
      <c r="S13" s="24"/>
    </row>
    <row r="14" spans="1:19" ht="12.75" customHeight="1" thickBot="1">
      <c r="A14" s="103" t="s">
        <v>1</v>
      </c>
      <c r="B14" s="103"/>
      <c r="C14" s="103"/>
      <c r="D14" s="104"/>
      <c r="E14" s="30">
        <v>13</v>
      </c>
      <c r="F14" s="30">
        <v>11</v>
      </c>
      <c r="G14" s="30">
        <v>10</v>
      </c>
      <c r="H14" s="30">
        <v>14</v>
      </c>
      <c r="J14" s="30" t="s">
        <v>37</v>
      </c>
      <c r="K14" s="30" t="s">
        <v>37</v>
      </c>
      <c r="L14" s="30" t="s">
        <v>37</v>
      </c>
      <c r="M14" s="30" t="s">
        <v>37</v>
      </c>
      <c r="O14" s="101" t="s">
        <v>58</v>
      </c>
      <c r="P14" s="102"/>
      <c r="Q14" s="24"/>
      <c r="R14" s="24"/>
      <c r="S14" s="24"/>
    </row>
    <row r="15" spans="1:19" ht="12.75" customHeight="1" thickBot="1">
      <c r="A15" s="103" t="s">
        <v>15</v>
      </c>
      <c r="B15" s="103"/>
      <c r="C15" s="103"/>
      <c r="D15" s="104"/>
      <c r="E15" s="30">
        <v>10</v>
      </c>
      <c r="F15" s="30">
        <v>13</v>
      </c>
      <c r="G15" s="30"/>
      <c r="H15" s="30"/>
      <c r="J15" s="30" t="s">
        <v>67</v>
      </c>
      <c r="K15" s="30" t="s">
        <v>37</v>
      </c>
      <c r="L15" s="30"/>
      <c r="M15" s="30"/>
      <c r="O15" s="101"/>
      <c r="P15" s="102"/>
      <c r="Q15" s="24"/>
      <c r="R15" s="24"/>
      <c r="S15" s="24"/>
    </row>
    <row r="16" spans="1:19" ht="12.75" customHeight="1" thickBot="1">
      <c r="A16" s="103" t="s">
        <v>48</v>
      </c>
      <c r="B16" s="103"/>
      <c r="C16" s="103"/>
      <c r="D16" s="104"/>
      <c r="E16" s="30">
        <v>12</v>
      </c>
      <c r="F16" s="30">
        <v>14</v>
      </c>
      <c r="G16" s="30">
        <v>10</v>
      </c>
      <c r="H16" s="30">
        <v>15</v>
      </c>
      <c r="J16" s="30" t="s">
        <v>37</v>
      </c>
      <c r="K16" s="30" t="s">
        <v>37</v>
      </c>
      <c r="L16" s="30" t="s">
        <v>37</v>
      </c>
      <c r="M16" s="30" t="s">
        <v>37</v>
      </c>
      <c r="O16" s="101" t="s">
        <v>27</v>
      </c>
      <c r="P16" s="102"/>
      <c r="Q16" s="24"/>
      <c r="R16" s="24"/>
      <c r="S16" s="24"/>
    </row>
    <row r="17" spans="1:19" ht="12.75" customHeight="1" thickBot="1">
      <c r="A17" s="103" t="s">
        <v>19</v>
      </c>
      <c r="B17" s="103"/>
      <c r="C17" s="103"/>
      <c r="D17" s="104"/>
      <c r="E17" s="30">
        <v>7</v>
      </c>
      <c r="F17" s="30">
        <v>7</v>
      </c>
      <c r="G17" s="30">
        <v>7</v>
      </c>
      <c r="H17" s="30">
        <v>10</v>
      </c>
      <c r="J17" s="30" t="s">
        <v>37</v>
      </c>
      <c r="K17" s="30" t="s">
        <v>67</v>
      </c>
      <c r="L17" s="30" t="s">
        <v>37</v>
      </c>
      <c r="M17" s="30" t="s">
        <v>37</v>
      </c>
      <c r="O17" s="101"/>
      <c r="P17" s="102"/>
      <c r="Q17" s="24"/>
      <c r="R17" s="24"/>
      <c r="S17" s="24"/>
    </row>
    <row r="18" ht="12.75" customHeight="1"/>
    <row r="19" spans="1:16" ht="15.75" customHeight="1" thickBot="1">
      <c r="A19" s="20" t="s">
        <v>40</v>
      </c>
      <c r="E19" s="21" t="s">
        <v>80</v>
      </c>
      <c r="F19" s="21" t="s">
        <v>81</v>
      </c>
      <c r="G19" s="21" t="s">
        <v>82</v>
      </c>
      <c r="H19" s="21" t="s">
        <v>83</v>
      </c>
      <c r="J19" s="22" t="s">
        <v>84</v>
      </c>
      <c r="O19" s="100" t="s">
        <v>85</v>
      </c>
      <c r="P19" s="100"/>
    </row>
    <row r="20" spans="1:19" ht="12.75" customHeight="1" thickBot="1">
      <c r="A20" s="103" t="s">
        <v>61</v>
      </c>
      <c r="B20" s="103"/>
      <c r="C20" s="103"/>
      <c r="D20" s="104"/>
      <c r="E20" s="30">
        <v>14</v>
      </c>
      <c r="F20" s="30">
        <v>12</v>
      </c>
      <c r="G20" s="30"/>
      <c r="H20" s="30"/>
      <c r="J20" s="30" t="s">
        <v>37</v>
      </c>
      <c r="K20" s="30" t="s">
        <v>67</v>
      </c>
      <c r="L20" s="30"/>
      <c r="M20" s="30"/>
      <c r="O20" s="101"/>
      <c r="P20" s="102"/>
      <c r="Q20" s="24"/>
      <c r="R20" s="24"/>
      <c r="S20" s="24"/>
    </row>
    <row r="21" spans="1:19" ht="12.75" customHeight="1" thickBot="1">
      <c r="A21" s="103" t="s">
        <v>10</v>
      </c>
      <c r="B21" s="103"/>
      <c r="C21" s="103"/>
      <c r="D21" s="104"/>
      <c r="E21" s="30">
        <v>8</v>
      </c>
      <c r="F21" s="30">
        <v>13</v>
      </c>
      <c r="G21" s="30"/>
      <c r="H21" s="30"/>
      <c r="J21" s="30" t="s">
        <v>67</v>
      </c>
      <c r="K21" s="30" t="s">
        <v>37</v>
      </c>
      <c r="L21" s="30"/>
      <c r="M21" s="30"/>
      <c r="O21" s="101"/>
      <c r="P21" s="102"/>
      <c r="Q21" s="24"/>
      <c r="R21" s="24"/>
      <c r="S21" s="24"/>
    </row>
    <row r="22" spans="1:19" ht="12.75" customHeight="1" thickBot="1">
      <c r="A22" s="103"/>
      <c r="B22" s="103"/>
      <c r="C22" s="103"/>
      <c r="D22" s="104"/>
      <c r="E22" s="30"/>
      <c r="F22" s="30"/>
      <c r="G22" s="30"/>
      <c r="H22" s="30"/>
      <c r="J22" s="30"/>
      <c r="K22" s="30"/>
      <c r="L22" s="30"/>
      <c r="M22" s="30"/>
      <c r="O22" s="101"/>
      <c r="P22" s="102"/>
      <c r="Q22" s="24"/>
      <c r="R22" s="24"/>
      <c r="S22" s="24"/>
    </row>
    <row r="23" spans="1:16" ht="12.75" customHeight="1" thickBot="1">
      <c r="A23" s="103" t="s">
        <v>59</v>
      </c>
      <c r="B23" s="103"/>
      <c r="C23" s="103"/>
      <c r="D23" s="104"/>
      <c r="E23" s="30">
        <v>9</v>
      </c>
      <c r="F23" s="30">
        <v>13</v>
      </c>
      <c r="G23" s="30">
        <v>23</v>
      </c>
      <c r="H23" s="78"/>
      <c r="J23" s="30" t="s">
        <v>37</v>
      </c>
      <c r="K23" s="30" t="s">
        <v>37</v>
      </c>
      <c r="L23" s="30" t="s">
        <v>37</v>
      </c>
      <c r="O23" s="103"/>
      <c r="P23" s="103"/>
    </row>
    <row r="24" spans="1:19" ht="12.75" customHeight="1" thickBot="1">
      <c r="A24" s="103" t="s">
        <v>60</v>
      </c>
      <c r="B24" s="103"/>
      <c r="C24" s="103"/>
      <c r="D24" s="107"/>
      <c r="E24" s="26"/>
      <c r="G24" s="30">
        <v>27</v>
      </c>
      <c r="H24" s="78"/>
      <c r="L24" s="30" t="s">
        <v>37</v>
      </c>
      <c r="O24" s="107"/>
      <c r="P24" s="107"/>
      <c r="Q24" s="24"/>
      <c r="R24" s="24"/>
      <c r="S24" s="24"/>
    </row>
    <row r="25" ht="12.75" customHeight="1"/>
    <row r="26" ht="12.75" customHeight="1"/>
    <row r="27" ht="15.75">
      <c r="A27" s="87" t="s">
        <v>68</v>
      </c>
    </row>
    <row r="28" ht="12.75" customHeight="1"/>
    <row r="29" spans="1:18" ht="15.75" customHeight="1" thickBot="1">
      <c r="A29" s="20" t="s">
        <v>39</v>
      </c>
      <c r="F29" s="20" t="s">
        <v>38</v>
      </c>
      <c r="K29" s="20" t="s">
        <v>40</v>
      </c>
      <c r="M29" s="17"/>
      <c r="P29" s="20" t="s">
        <v>62</v>
      </c>
      <c r="R29" s="17"/>
    </row>
    <row r="30" spans="1:19" ht="13.5" thickBot="1">
      <c r="A30" s="16" t="s">
        <v>64</v>
      </c>
      <c r="D30" s="30">
        <v>16</v>
      </c>
      <c r="F30" s="16" t="s">
        <v>64</v>
      </c>
      <c r="I30" s="30">
        <v>16</v>
      </c>
      <c r="K30" s="16" t="s">
        <v>64</v>
      </c>
      <c r="N30" s="30">
        <v>8</v>
      </c>
      <c r="P30" s="16" t="s">
        <v>64</v>
      </c>
      <c r="S30" s="30">
        <v>40</v>
      </c>
    </row>
    <row r="31" spans="1:19" ht="13.5" thickBot="1">
      <c r="A31" s="19" t="s">
        <v>7</v>
      </c>
      <c r="D31" s="30">
        <v>1</v>
      </c>
      <c r="F31" s="19" t="s">
        <v>7</v>
      </c>
      <c r="G31" s="19"/>
      <c r="H31" s="19"/>
      <c r="I31" s="30">
        <v>1</v>
      </c>
      <c r="K31" s="19" t="s">
        <v>7</v>
      </c>
      <c r="L31" s="19"/>
      <c r="M31" s="19"/>
      <c r="N31" s="30">
        <v>0</v>
      </c>
      <c r="P31" s="19" t="s">
        <v>7</v>
      </c>
      <c r="Q31" s="19"/>
      <c r="R31" s="19"/>
      <c r="S31" s="30">
        <v>2</v>
      </c>
    </row>
    <row r="32" spans="1:19" ht="13.5" thickBot="1">
      <c r="A32" s="16" t="s">
        <v>65</v>
      </c>
      <c r="D32" s="30">
        <v>152</v>
      </c>
      <c r="F32" s="16" t="s">
        <v>65</v>
      </c>
      <c r="I32" s="30">
        <v>167</v>
      </c>
      <c r="K32" s="16" t="s">
        <v>65</v>
      </c>
      <c r="N32" s="30">
        <v>99</v>
      </c>
      <c r="P32" s="16" t="s">
        <v>65</v>
      </c>
      <c r="S32" s="30">
        <v>418</v>
      </c>
    </row>
    <row r="33" spans="1:19" ht="13.5" thickBot="1">
      <c r="A33" s="16" t="s">
        <v>63</v>
      </c>
      <c r="D33" s="31">
        <v>9.5</v>
      </c>
      <c r="F33" s="16" t="s">
        <v>63</v>
      </c>
      <c r="I33" s="31">
        <v>10.4</v>
      </c>
      <c r="K33" s="16" t="s">
        <v>63</v>
      </c>
      <c r="N33" s="31">
        <v>12.4</v>
      </c>
      <c r="P33" s="16" t="s">
        <v>63</v>
      </c>
      <c r="S33" s="31">
        <v>10.5</v>
      </c>
    </row>
    <row r="34" spans="1:19" ht="13.5" thickBot="1">
      <c r="A34" s="72" t="s">
        <v>30</v>
      </c>
      <c r="D34" s="73">
        <v>2.5</v>
      </c>
      <c r="F34" s="72" t="s">
        <v>30</v>
      </c>
      <c r="G34" s="22"/>
      <c r="H34" s="22"/>
      <c r="I34" s="73">
        <v>2.19</v>
      </c>
      <c r="J34" s="22"/>
      <c r="K34" s="72" t="s">
        <v>30</v>
      </c>
      <c r="L34" s="22"/>
      <c r="M34" s="22"/>
      <c r="N34" s="73">
        <v>1.54</v>
      </c>
      <c r="O34" s="22"/>
      <c r="P34" s="72" t="s">
        <v>30</v>
      </c>
      <c r="Q34" s="22"/>
      <c r="R34" s="22"/>
      <c r="S34" s="73">
        <v>2.18</v>
      </c>
    </row>
    <row r="35" ht="12.75" customHeight="1">
      <c r="F35" s="28"/>
    </row>
    <row r="36" ht="12.75" customHeight="1">
      <c r="L36" s="24"/>
    </row>
    <row r="37" ht="15.75">
      <c r="A37" s="87" t="s">
        <v>72</v>
      </c>
    </row>
    <row r="39" spans="1:8" ht="15.75" thickBot="1">
      <c r="A39" s="20" t="s">
        <v>29</v>
      </c>
      <c r="H39" s="20" t="s">
        <v>70</v>
      </c>
    </row>
    <row r="40" spans="1:19" ht="12.75" customHeight="1" thickBot="1">
      <c r="A40" s="29" t="s">
        <v>114</v>
      </c>
      <c r="F40" s="30">
        <v>12</v>
      </c>
      <c r="G40" s="79" t="s">
        <v>92</v>
      </c>
      <c r="H40" s="24" t="s">
        <v>74</v>
      </c>
      <c r="I40" s="24"/>
      <c r="J40" s="24"/>
      <c r="K40" s="24"/>
      <c r="L40" s="24"/>
      <c r="M40" s="24"/>
      <c r="N40" s="24"/>
      <c r="O40" s="24"/>
      <c r="P40" s="24"/>
      <c r="Q40" s="30" t="s">
        <v>37</v>
      </c>
      <c r="R40" s="24"/>
      <c r="S40" s="24"/>
    </row>
    <row r="41" spans="1:19" ht="12.75" customHeight="1" thickBot="1">
      <c r="A41" s="29" t="s">
        <v>115</v>
      </c>
      <c r="F41" s="30">
        <v>9</v>
      </c>
      <c r="G41" s="79" t="s">
        <v>92</v>
      </c>
      <c r="H41" s="24" t="s">
        <v>153</v>
      </c>
      <c r="I41" s="24"/>
      <c r="J41" s="24"/>
      <c r="K41" s="24"/>
      <c r="L41" s="24"/>
      <c r="M41" s="24"/>
      <c r="N41" s="24"/>
      <c r="O41" s="24"/>
      <c r="P41" s="24"/>
      <c r="Q41" s="30" t="s">
        <v>37</v>
      </c>
      <c r="R41" s="24"/>
      <c r="S41" s="24"/>
    </row>
    <row r="42" spans="1:19" ht="12.75" customHeight="1" thickBot="1">
      <c r="A42" s="76" t="s">
        <v>123</v>
      </c>
      <c r="B42" s="24"/>
      <c r="C42" s="24"/>
      <c r="F42" s="30">
        <v>14</v>
      </c>
      <c r="G42" s="79" t="s">
        <v>92</v>
      </c>
      <c r="H42" s="24" t="s">
        <v>73</v>
      </c>
      <c r="I42" s="24"/>
      <c r="J42" s="24"/>
      <c r="K42" s="24"/>
      <c r="L42" s="24"/>
      <c r="M42" s="24"/>
      <c r="N42" s="24"/>
      <c r="O42" s="24"/>
      <c r="P42" s="24"/>
      <c r="Q42" s="30" t="s">
        <v>37</v>
      </c>
      <c r="R42" s="24"/>
      <c r="S42" s="24"/>
    </row>
    <row r="43" spans="1:19" ht="12.75" customHeight="1" thickBot="1">
      <c r="A43" s="77" t="s">
        <v>23</v>
      </c>
      <c r="B43" s="24"/>
      <c r="C43" s="24"/>
      <c r="D43" s="24"/>
      <c r="F43" s="30">
        <v>12</v>
      </c>
      <c r="G43" s="79" t="s">
        <v>92</v>
      </c>
      <c r="H43" s="24" t="s">
        <v>99</v>
      </c>
      <c r="I43" s="24"/>
      <c r="J43" s="24"/>
      <c r="K43" s="24"/>
      <c r="L43" s="24"/>
      <c r="M43" s="24"/>
      <c r="N43" s="28"/>
      <c r="O43" s="24"/>
      <c r="P43" s="24"/>
      <c r="Q43" s="30" t="s">
        <v>37</v>
      </c>
      <c r="R43" s="24"/>
      <c r="S43" s="24"/>
    </row>
    <row r="44" spans="1:19" ht="12.75" customHeight="1" thickBot="1">
      <c r="A44" s="19" t="s">
        <v>124</v>
      </c>
      <c r="F44" s="30">
        <v>13</v>
      </c>
      <c r="G44" s="79" t="s">
        <v>92</v>
      </c>
      <c r="H44" s="24" t="s">
        <v>71</v>
      </c>
      <c r="I44" s="24"/>
      <c r="J44" s="24"/>
      <c r="K44" s="24"/>
      <c r="L44" s="24"/>
      <c r="M44" s="24"/>
      <c r="N44" s="28"/>
      <c r="O44" s="24"/>
      <c r="P44" s="24"/>
      <c r="Q44" s="30" t="s">
        <v>37</v>
      </c>
      <c r="R44" s="24"/>
      <c r="S44" s="24"/>
    </row>
    <row r="45" spans="1:19" ht="12.75" customHeight="1" thickBot="1">
      <c r="A45" s="22" t="s">
        <v>66</v>
      </c>
      <c r="F45" s="30">
        <v>240</v>
      </c>
      <c r="H45" s="24" t="s">
        <v>152</v>
      </c>
      <c r="I45" s="24"/>
      <c r="J45" s="24"/>
      <c r="K45" s="24"/>
      <c r="L45" s="24"/>
      <c r="M45" s="24"/>
      <c r="N45" s="28"/>
      <c r="O45" s="24"/>
      <c r="P45" s="24"/>
      <c r="Q45" s="30" t="s">
        <v>37</v>
      </c>
      <c r="R45" s="24"/>
      <c r="S45" s="24"/>
    </row>
    <row r="46" spans="1:19" ht="12.75" customHeight="1" thickBot="1">
      <c r="A46" s="22" t="s">
        <v>63</v>
      </c>
      <c r="F46" s="31">
        <v>12.1</v>
      </c>
      <c r="H46" s="24" t="s">
        <v>154</v>
      </c>
      <c r="I46" s="24"/>
      <c r="J46" s="24"/>
      <c r="K46" s="24"/>
      <c r="L46" s="24"/>
      <c r="M46" s="24"/>
      <c r="N46" s="28"/>
      <c r="O46" s="24"/>
      <c r="P46" s="24"/>
      <c r="Q46" s="30" t="s">
        <v>37</v>
      </c>
      <c r="R46" s="24"/>
      <c r="S46" s="24"/>
    </row>
    <row r="47" spans="1:19" ht="12.75" customHeight="1" thickBot="1">
      <c r="A47" s="72" t="s">
        <v>30</v>
      </c>
      <c r="F47" s="73">
        <v>1.65</v>
      </c>
      <c r="H47" s="24" t="s">
        <v>155</v>
      </c>
      <c r="I47" s="24"/>
      <c r="J47" s="24"/>
      <c r="K47" s="24"/>
      <c r="L47" s="24"/>
      <c r="M47" s="24"/>
      <c r="N47" s="28"/>
      <c r="O47" s="24"/>
      <c r="P47" s="24"/>
      <c r="Q47" s="30" t="s">
        <v>37</v>
      </c>
      <c r="R47" s="24"/>
      <c r="S47" s="24"/>
    </row>
    <row r="48" spans="8:19" ht="12.75" customHeight="1"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8" ht="15.75" customHeight="1" thickBot="1">
      <c r="A49" s="20" t="s">
        <v>31</v>
      </c>
      <c r="H49" s="20" t="s">
        <v>35</v>
      </c>
    </row>
    <row r="50" spans="1:14" ht="13.5" customHeight="1" thickBot="1">
      <c r="A50" s="117" t="s">
        <v>32</v>
      </c>
      <c r="B50" s="118"/>
      <c r="C50" s="118"/>
      <c r="D50" s="118"/>
      <c r="E50" s="109">
        <v>658</v>
      </c>
      <c r="F50" s="110"/>
      <c r="G50" s="37"/>
      <c r="H50" s="108" t="s">
        <v>8</v>
      </c>
      <c r="I50" s="108"/>
      <c r="J50" s="108"/>
      <c r="K50" s="108"/>
      <c r="L50" s="108"/>
      <c r="M50" s="130" t="s">
        <v>125</v>
      </c>
      <c r="N50" s="131"/>
    </row>
    <row r="51" spans="1:14" ht="13.5" customHeight="1" thickBot="1">
      <c r="A51" s="119"/>
      <c r="B51" s="120"/>
      <c r="C51" s="120"/>
      <c r="D51" s="120"/>
      <c r="E51" s="110"/>
      <c r="F51" s="110"/>
      <c r="G51" s="37"/>
      <c r="H51" s="108"/>
      <c r="I51" s="108"/>
      <c r="J51" s="108"/>
      <c r="K51" s="108"/>
      <c r="L51" s="108"/>
      <c r="M51" s="132"/>
      <c r="N51" s="133"/>
    </row>
    <row r="52" spans="1:14" ht="13.5" customHeight="1" thickBot="1">
      <c r="A52" s="121" t="s">
        <v>69</v>
      </c>
      <c r="B52" s="92"/>
      <c r="C52" s="92"/>
      <c r="D52" s="92"/>
      <c r="E52" s="111">
        <v>2</v>
      </c>
      <c r="F52" s="111"/>
      <c r="G52" s="38"/>
      <c r="H52" s="124" t="s">
        <v>126</v>
      </c>
      <c r="I52" s="125"/>
      <c r="J52" s="125"/>
      <c r="K52" s="125"/>
      <c r="L52" s="125"/>
      <c r="M52" s="125"/>
      <c r="N52" s="126"/>
    </row>
    <row r="53" spans="1:14" ht="15" customHeight="1" thickBot="1">
      <c r="A53" s="122"/>
      <c r="B53" s="123"/>
      <c r="C53" s="123"/>
      <c r="D53" s="123"/>
      <c r="E53" s="111"/>
      <c r="F53" s="111"/>
      <c r="G53" s="38"/>
      <c r="H53" s="127"/>
      <c r="I53" s="128"/>
      <c r="J53" s="128"/>
      <c r="K53" s="128"/>
      <c r="L53" s="128"/>
      <c r="M53" s="128"/>
      <c r="N53" s="129"/>
    </row>
    <row r="54" spans="1:7" ht="12.75" customHeight="1">
      <c r="A54" s="32"/>
      <c r="B54" s="32"/>
      <c r="C54" s="32"/>
      <c r="D54" s="32"/>
      <c r="E54" s="32"/>
      <c r="F54" s="33"/>
      <c r="G54" s="33"/>
    </row>
    <row r="55" ht="15.75" customHeight="1">
      <c r="A55" s="20" t="s">
        <v>118</v>
      </c>
    </row>
    <row r="56" ht="13.5" customHeight="1" thickBot="1">
      <c r="A56" s="80" t="s">
        <v>133</v>
      </c>
    </row>
    <row r="57" spans="1:12" ht="12.75" customHeight="1" thickBot="1">
      <c r="A57" s="16" t="s">
        <v>4</v>
      </c>
      <c r="F57" s="27">
        <v>9</v>
      </c>
      <c r="G57" s="82" t="s">
        <v>3</v>
      </c>
      <c r="H57" s="112" t="s">
        <v>103</v>
      </c>
      <c r="I57" s="113"/>
      <c r="J57" s="113"/>
      <c r="K57" s="114"/>
      <c r="L57" s="35">
        <v>12</v>
      </c>
    </row>
    <row r="58" spans="1:12" ht="12.75" customHeight="1" thickBot="1">
      <c r="A58" s="16" t="s">
        <v>5</v>
      </c>
      <c r="F58" s="27">
        <v>12</v>
      </c>
      <c r="G58" s="82" t="s">
        <v>3</v>
      </c>
      <c r="H58" s="112" t="s">
        <v>102</v>
      </c>
      <c r="I58" s="115"/>
      <c r="J58" s="115"/>
      <c r="K58" s="116"/>
      <c r="L58" s="35">
        <v>15</v>
      </c>
    </row>
    <row r="59" spans="1:12" ht="12.75" customHeight="1" thickBot="1">
      <c r="A59" s="16" t="s">
        <v>6</v>
      </c>
      <c r="F59" s="27">
        <v>14</v>
      </c>
      <c r="G59" s="82" t="s">
        <v>3</v>
      </c>
      <c r="H59" s="112" t="s">
        <v>104</v>
      </c>
      <c r="I59" s="113"/>
      <c r="J59" s="113"/>
      <c r="K59" s="81">
        <v>1.9</v>
      </c>
      <c r="L59" s="27" t="s">
        <v>127</v>
      </c>
    </row>
  </sheetData>
  <sheetProtection password="D6F5" sheet="1"/>
  <mergeCells count="45">
    <mergeCell ref="H58:K58"/>
    <mergeCell ref="H59:J59"/>
    <mergeCell ref="A52:D53"/>
    <mergeCell ref="E52:F53"/>
    <mergeCell ref="H52:N53"/>
    <mergeCell ref="H57:K57"/>
    <mergeCell ref="A23:D23"/>
    <mergeCell ref="O23:P23"/>
    <mergeCell ref="A24:D24"/>
    <mergeCell ref="O24:P24"/>
    <mergeCell ref="A50:D51"/>
    <mergeCell ref="E50:F51"/>
    <mergeCell ref="H50:L51"/>
    <mergeCell ref="M50:N51"/>
    <mergeCell ref="A17:D17"/>
    <mergeCell ref="O17:P17"/>
    <mergeCell ref="O19:P19"/>
    <mergeCell ref="A20:D20"/>
    <mergeCell ref="O20:P20"/>
    <mergeCell ref="A21:D21"/>
    <mergeCell ref="O21:P21"/>
    <mergeCell ref="A22:D22"/>
    <mergeCell ref="O22:P22"/>
    <mergeCell ref="O12:P12"/>
    <mergeCell ref="A13:D13"/>
    <mergeCell ref="O13:P13"/>
    <mergeCell ref="A14:D14"/>
    <mergeCell ref="O14:P14"/>
    <mergeCell ref="A15:D15"/>
    <mergeCell ref="O15:P15"/>
    <mergeCell ref="A16:D16"/>
    <mergeCell ref="O16:P16"/>
    <mergeCell ref="A10:D10"/>
    <mergeCell ref="O10:P10"/>
    <mergeCell ref="A7:D7"/>
    <mergeCell ref="O7:P7"/>
    <mergeCell ref="A8:D8"/>
    <mergeCell ref="O8:P8"/>
    <mergeCell ref="O6:P6"/>
    <mergeCell ref="A9:D9"/>
    <mergeCell ref="O9:P9"/>
    <mergeCell ref="A1:E1"/>
    <mergeCell ref="G1:K1"/>
    <mergeCell ref="O5:P5"/>
    <mergeCell ref="A6:D6"/>
  </mergeCells>
  <conditionalFormatting sqref="Q40:Q47">
    <cfRule type="cellIs" priority="1" dxfId="5" operator="equal" stopIfTrue="1">
      <formula>"ja"</formula>
    </cfRule>
    <cfRule type="cellIs" priority="2" dxfId="0" operator="equal" stopIfTrue="1">
      <formula>"NEIN!"</formula>
    </cfRule>
  </conditionalFormatting>
  <conditionalFormatting sqref="S31">
    <cfRule type="cellIs" priority="3" dxfId="6" operator="greaterThan" stopIfTrue="1">
      <formula>8</formula>
    </cfRule>
  </conditionalFormatting>
  <conditionalFormatting sqref="M50:N51">
    <cfRule type="cellIs" priority="4" dxfId="5" operator="notEqual" stopIfTrue="1">
      <formula>"NEIN!"</formula>
    </cfRule>
    <cfRule type="cellIs" priority="5" dxfId="0" operator="equal" stopIfTrue="1">
      <formula>"NEIN!"</formula>
    </cfRule>
  </conditionalFormatting>
  <conditionalFormatting sqref="N31 I31 D31">
    <cfRule type="cellIs" priority="6" dxfId="6" operator="greaterThan" stopIfTrue="1">
      <formula>6</formula>
    </cfRule>
  </conditionalFormatting>
  <conditionalFormatting sqref="S30">
    <cfRule type="cellIs" priority="7" dxfId="5" operator="equal" stopIfTrue="1">
      <formula>40</formula>
    </cfRule>
    <cfRule type="cellIs" priority="8" dxfId="0" operator="greaterThan" stopIfTrue="1">
      <formula>40</formula>
    </cfRule>
  </conditionalFormatting>
  <conditionalFormatting sqref="E23:F23 E20:H22 E13:H17 E6:H10">
    <cfRule type="cellIs" priority="9" dxfId="0" operator="between" stopIfTrue="1">
      <formula>1</formula>
      <formula>4</formula>
    </cfRule>
  </conditionalFormatting>
  <conditionalFormatting sqref="J6:M10 J20:M24 J13:M17">
    <cfRule type="cellIs" priority="10" dxfId="2" operator="equal" stopIfTrue="1">
      <formula>"Ja"</formula>
    </cfRule>
    <cfRule type="cellIs" priority="11" dxfId="1" operator="equal" stopIfTrue="1">
      <formula>"Nein"</formula>
    </cfRule>
  </conditionalFormatting>
  <conditionalFormatting sqref="G23:G24">
    <cfRule type="cellIs" priority="12" dxfId="0" operator="between" stopIfTrue="1">
      <formula>1</formula>
      <formula>9</formula>
    </cfRule>
  </conditionalFormatting>
  <dataValidations count="6">
    <dataValidation type="whole" allowBlank="1" showInputMessage="1" showErrorMessage="1" sqref="F40:F42">
      <formula1>0</formula1>
      <formula2>15</formula2>
    </dataValidation>
    <dataValidation type="list" showInputMessage="1" showErrorMessage="1" sqref="O20:P22 O8:P10 O13:P17">
      <formula1>#REF!</formula1>
    </dataValidation>
    <dataValidation type="whole" allowBlank="1" showInputMessage="1" showErrorMessage="1" errorTitle="ungültige Dateneingabe" error="Geben Sie an dieser Stelle eine Zahl zwischen 0 und 30 ein!" sqref="G23:G24">
      <formula1>0</formula1>
      <formula2>30</formula2>
    </dataValidation>
    <dataValidation type="whole" allowBlank="1" showInputMessage="1" showErrorMessage="1" errorTitle="ungültige Dateneingabe" error="Geben Sie an dieser Stelle eine Zahl zwischen 0 und 15 ein!" sqref="E23:F23 E20:H22 E13:H17 E6:H10">
      <formula1>0</formula1>
      <formula2>15</formula2>
    </dataValidation>
    <dataValidation showInputMessage="1" showErrorMessage="1" sqref="O6:P7 L23:L24 J23:K23"/>
    <dataValidation type="whole" allowBlank="1" showInputMessage="1" showErrorMessage="1" sqref="F43:F44">
      <formula1>0</formula1>
      <formula2>60</formula2>
    </dataValidation>
  </dataValidations>
  <hyperlinks>
    <hyperlink ref="A1" location="Informationen!D25" display="Link zu den Informationen"/>
    <hyperlink ref="G1:K1" location="Programm!E6" tooltip="Link zum Programm" display="Link zum Programm"/>
    <hyperlink ref="A1:E1" location="Informationen!D27" tooltip="Link zu den Informationen" display="Link zu den Informationen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Notenschnitt-Kalkulator (Abirechner) G8</dc:title>
  <dc:subject/>
  <dc:creator>Alexander Müller</dc:creator>
  <cp:keywords>Notenschnitt berechnen, Notenschnitt ausrechnen, Notenrechner, Notendurchschnitt kalkulieren</cp:keywords>
  <dc:description/>
  <cp:lastModifiedBy>Alexander Müller</cp:lastModifiedBy>
  <cp:lastPrinted>2010-11-19T00:29:16Z</cp:lastPrinted>
  <dcterms:created xsi:type="dcterms:W3CDTF">1996-10-17T05:27:31Z</dcterms:created>
  <dcterms:modified xsi:type="dcterms:W3CDTF">2013-05-02T12:37:57Z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